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namedSheetViews/namedSheetView1.xml" ContentType="application/vnd.ms-excel.namedsheetviews+xml"/>
  <Override PartName="/xl/namedSheetViews/namedSheetView2.xml" ContentType="application/vnd.ms-excel.namedsheetview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90f58bb80e351e23/Career/Website/"/>
    </mc:Choice>
  </mc:AlternateContent>
  <xr:revisionPtr revIDLastSave="6327" documentId="8_{69004D40-7DC3-460C-A224-AA7BC39EA457}" xr6:coauthVersionLast="47" xr6:coauthVersionMax="47" xr10:uidLastSave="{4F2A609A-AA46-4F89-A4BD-51BD1691AC87}"/>
  <bookViews>
    <workbookView xWindow="-28920" yWindow="-120" windowWidth="29040" windowHeight="15720" tabRatio="914" activeTab="1" xr2:uid="{AFB6394D-6FAE-439B-A3BF-9222BD7790B8}"/>
  </bookViews>
  <sheets>
    <sheet name="Valuation Summary" sheetId="13" r:id="rId1"/>
    <sheet name="Inc. Stmt." sheetId="1" r:id="rId2"/>
    <sheet name="Common Inc. Stmt." sheetId="4" r:id="rId3"/>
    <sheet name="Q Inc. Stmt." sheetId="6" r:id="rId4"/>
    <sheet name="Bal. Sheet" sheetId="2" r:id="rId5"/>
    <sheet name="Common Bal. Sheet" sheetId="5" r:id="rId6"/>
    <sheet name="Q Bal. Sheet" sheetId="8" r:id="rId7"/>
    <sheet name="Cash Flow Stmt." sheetId="3" r:id="rId8"/>
    <sheet name="random calculations" sheetId="10" state="hidden" r:id="rId9"/>
    <sheet name="DCF Model" sheetId="17" r:id="rId10"/>
    <sheet name="Relative Model" sheetId="14" r:id="rId11"/>
    <sheet name="Sensitivity Analysis" sheetId="18" r:id="rId12"/>
    <sheet name="Dupont Analysis" sheetId="22" r:id="rId13"/>
    <sheet name="Ratio Analysis" sheetId="7" r:id="rId14"/>
    <sheet name="Cost of Debt Calc." sheetId="15" r:id="rId15"/>
    <sheet name="Tax Rate Calc." sheetId="16" r:id="rId16"/>
    <sheet name="S&amp;P Returns" sheetId="12" state="hidden" r:id="rId17"/>
    <sheet name="Stock Returns" sheetId="27" state="hidden" r:id="rId18"/>
    <sheet name="Med Home Prices" sheetId="29" state="hidden" r:id="rId19"/>
    <sheet name="Mortgage Rates" sheetId="30" state="hidden" r:id="rId20"/>
    <sheet name="CPI Data" sheetId="31" state="hidden" r:id="rId21"/>
    <sheet name="Contruction Jobs" sheetId="32" state="hidden" r:id="rId22"/>
  </sheets>
  <definedNames>
    <definedName name="Bal_sheet">'Bal. Sheet'!$A$2:$O$39</definedName>
    <definedName name="Cash_flows">'Cash Flow Stmt.'!$A$2:$O$47</definedName>
    <definedName name="income_stmt">'Inc. Stmt.'!$A$2:$O$25</definedName>
    <definedName name="_xlnm.Print_Area" localSheetId="4">'Bal. Sheet'!$A$2:$O$39</definedName>
    <definedName name="_xlnm.Print_Area" localSheetId="7">'Cash Flow Stmt.'!$A$2:$O$47</definedName>
    <definedName name="_xlnm.Print_Area" localSheetId="1">'Inc. Stmt.'!$A$2:$O$25</definedName>
    <definedName name="solver_adj" localSheetId="1" hidden="1">'Inc. Stmt.'!$H$32</definedName>
    <definedName name="solver_cvg" localSheetId="1" hidden="1">0.0001</definedName>
    <definedName name="solver_drv" localSheetId="1" hidden="1">1</definedName>
    <definedName name="solver_eng" localSheetId="9" hidden="1">1</definedName>
    <definedName name="solver_eng" localSheetId="1" hidden="1">1</definedName>
    <definedName name="solver_eng" localSheetId="11" hidden="1">1</definedName>
    <definedName name="solver_est" localSheetId="1" hidden="1">1</definedName>
    <definedName name="solver_itr" localSheetId="1" hidden="1">2147483647</definedName>
    <definedName name="solver_mip" localSheetId="1" hidden="1">2147483647</definedName>
    <definedName name="solver_mni" localSheetId="1" hidden="1">30</definedName>
    <definedName name="solver_mrt" localSheetId="1" hidden="1">0.075</definedName>
    <definedName name="solver_msl" localSheetId="1" hidden="1">2</definedName>
    <definedName name="solver_neg" localSheetId="9" hidden="1">1</definedName>
    <definedName name="solver_neg" localSheetId="1" hidden="1">1</definedName>
    <definedName name="solver_neg" localSheetId="11" hidden="1">1</definedName>
    <definedName name="solver_nod" localSheetId="1" hidden="1">2147483647</definedName>
    <definedName name="solver_num" localSheetId="9" hidden="1">0</definedName>
    <definedName name="solver_num" localSheetId="1" hidden="1">0</definedName>
    <definedName name="solver_num" localSheetId="11" hidden="1">0</definedName>
    <definedName name="solver_nwt" localSheetId="1" hidden="1">1</definedName>
    <definedName name="solver_opt" localSheetId="9" hidden="1">'DCF Model'!$H$5</definedName>
    <definedName name="solver_opt" localSheetId="1" hidden="1">'Inc. Stmt.'!$H$34</definedName>
    <definedName name="solver_opt" localSheetId="11" hidden="1">'Sensitivity Analysis'!#REF!</definedName>
    <definedName name="solver_pre" localSheetId="1" hidden="1">0.000001</definedName>
    <definedName name="solver_rbv" localSheetId="1" hidden="1">1</definedName>
    <definedName name="solver_rlx" localSheetId="1" hidden="1">2</definedName>
    <definedName name="solver_rsd" localSheetId="1" hidden="1">0</definedName>
    <definedName name="solver_scl" localSheetId="1" hidden="1">1</definedName>
    <definedName name="solver_sho" localSheetId="1" hidden="1">2</definedName>
    <definedName name="solver_ssz" localSheetId="1" hidden="1">100</definedName>
    <definedName name="solver_tim" localSheetId="1" hidden="1">2147483647</definedName>
    <definedName name="solver_tol" localSheetId="1" hidden="1">0.01</definedName>
    <definedName name="solver_typ" localSheetId="9" hidden="1">1</definedName>
    <definedName name="solver_typ" localSheetId="1" hidden="1">3</definedName>
    <definedName name="solver_typ" localSheetId="11" hidden="1">1</definedName>
    <definedName name="solver_val" localSheetId="9" hidden="1">0</definedName>
    <definedName name="solver_val" localSheetId="1" hidden="1">2098943</definedName>
    <definedName name="solver_val" localSheetId="11" hidden="1">0</definedName>
    <definedName name="solver_ver" localSheetId="9" hidden="1">3</definedName>
    <definedName name="solver_ver" localSheetId="1" hidden="1">3</definedName>
    <definedName name="solver_ver" localSheetId="11"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3" l="1"/>
  <c r="I9" i="3"/>
  <c r="I45" i="3"/>
  <c r="O8" i="14"/>
  <c r="O6" i="14"/>
  <c r="O5" i="14"/>
  <c r="O4" i="14"/>
  <c r="O3" i="14"/>
  <c r="B23" i="10"/>
  <c r="B24" i="10"/>
  <c r="B18" i="10"/>
  <c r="C18" i="10"/>
  <c r="D18" i="10"/>
  <c r="B19" i="10"/>
  <c r="C19" i="10"/>
  <c r="D19" i="10"/>
  <c r="B14" i="10"/>
  <c r="C14" i="10"/>
  <c r="C15" i="10" s="1"/>
  <c r="D14" i="10"/>
  <c r="D15" i="10" s="1"/>
  <c r="B4" i="10"/>
  <c r="C4" i="10"/>
  <c r="D4" i="10"/>
  <c r="E5" i="10"/>
  <c r="B6" i="10"/>
  <c r="C6" i="10"/>
  <c r="D6" i="10"/>
  <c r="B7" i="10"/>
  <c r="C7" i="10"/>
  <c r="D7" i="10"/>
  <c r="B8" i="10"/>
  <c r="C8" i="10"/>
  <c r="D8" i="10"/>
  <c r="E10" i="10"/>
  <c r="B11" i="10"/>
  <c r="C11" i="10"/>
  <c r="D11" i="10"/>
  <c r="E3" i="10"/>
  <c r="H12" i="22"/>
  <c r="G12" i="22"/>
  <c r="F12" i="22"/>
  <c r="E12" i="22"/>
  <c r="D12" i="22"/>
  <c r="C12" i="22"/>
  <c r="B12" i="22"/>
  <c r="C51" i="7"/>
  <c r="D51" i="7"/>
  <c r="E51" i="7"/>
  <c r="F51" i="7"/>
  <c r="G51" i="7"/>
  <c r="H51" i="7"/>
  <c r="I51" i="7"/>
  <c r="B2" i="27"/>
  <c r="I33" i="3"/>
  <c r="I23" i="2" s="1"/>
  <c r="I32" i="3"/>
  <c r="I49" i="2" s="1"/>
  <c r="I16" i="7"/>
  <c r="I48" i="7"/>
  <c r="I44" i="7"/>
  <c r="I43" i="7"/>
  <c r="I38" i="7"/>
  <c r="I28" i="7"/>
  <c r="I27" i="7"/>
  <c r="I26" i="7"/>
  <c r="I25" i="7"/>
  <c r="I21" i="7"/>
  <c r="D20" i="17"/>
  <c r="D21" i="17" s="1"/>
  <c r="D84" i="17" s="1"/>
  <c r="D22" i="17"/>
  <c r="I11" i="7"/>
  <c r="I7" i="7"/>
  <c r="H16" i="7"/>
  <c r="H48" i="7"/>
  <c r="H44" i="7"/>
  <c r="H43" i="7"/>
  <c r="H38" i="7"/>
  <c r="H28" i="7"/>
  <c r="H27" i="7"/>
  <c r="H26" i="7"/>
  <c r="H25" i="7"/>
  <c r="H21" i="7"/>
  <c r="H11" i="7"/>
  <c r="H7" i="7"/>
  <c r="G16" i="7"/>
  <c r="G48" i="7"/>
  <c r="G44" i="7"/>
  <c r="G43" i="7"/>
  <c r="G38" i="7"/>
  <c r="G28" i="7"/>
  <c r="G27" i="7"/>
  <c r="F17" i="22" s="1"/>
  <c r="G26" i="7"/>
  <c r="G25" i="7"/>
  <c r="G21" i="7"/>
  <c r="G11" i="7"/>
  <c r="G7" i="7"/>
  <c r="F16" i="7"/>
  <c r="F48" i="7"/>
  <c r="F44" i="7"/>
  <c r="F43" i="7"/>
  <c r="F38" i="7"/>
  <c r="F28" i="7"/>
  <c r="F27" i="7"/>
  <c r="E17" i="22" s="1"/>
  <c r="F26" i="7"/>
  <c r="F25" i="7"/>
  <c r="F21" i="7"/>
  <c r="F11" i="7"/>
  <c r="F7" i="7"/>
  <c r="E16" i="7"/>
  <c r="E48" i="7"/>
  <c r="E44" i="7"/>
  <c r="E43" i="7"/>
  <c r="E38" i="7"/>
  <c r="E28" i="7"/>
  <c r="E27" i="7"/>
  <c r="D17" i="22" s="1"/>
  <c r="E26" i="7"/>
  <c r="E25" i="7"/>
  <c r="E21" i="7"/>
  <c r="E11" i="7"/>
  <c r="E7" i="7"/>
  <c r="D16" i="7"/>
  <c r="D48" i="7"/>
  <c r="D44" i="7"/>
  <c r="D43" i="7"/>
  <c r="D38" i="7"/>
  <c r="D28" i="7"/>
  <c r="D27" i="7"/>
  <c r="C17" i="22" s="1"/>
  <c r="D26" i="7"/>
  <c r="D25" i="7"/>
  <c r="D21" i="7"/>
  <c r="D11" i="7"/>
  <c r="D7" i="7"/>
  <c r="C48" i="7"/>
  <c r="C44" i="7"/>
  <c r="C43" i="7"/>
  <c r="C38" i="7"/>
  <c r="C28" i="7"/>
  <c r="C27" i="7"/>
  <c r="C26" i="7"/>
  <c r="C25" i="7"/>
  <c r="C21" i="7"/>
  <c r="C11" i="7"/>
  <c r="C7" i="7"/>
  <c r="I49" i="7"/>
  <c r="H49" i="7"/>
  <c r="G49" i="7"/>
  <c r="F49" i="7"/>
  <c r="E49" i="7"/>
  <c r="D49" i="7"/>
  <c r="I13" i="7"/>
  <c r="H13" i="7"/>
  <c r="G13" i="7"/>
  <c r="F13" i="7"/>
  <c r="E13" i="7"/>
  <c r="D13" i="7"/>
  <c r="H43" i="1"/>
  <c r="I6" i="7" s="1"/>
  <c r="G43" i="1"/>
  <c r="H6" i="7" s="1"/>
  <c r="F43" i="1"/>
  <c r="G6" i="7" s="1"/>
  <c r="E43" i="1"/>
  <c r="F6" i="7" s="1"/>
  <c r="D43" i="1"/>
  <c r="D5" i="22" s="1"/>
  <c r="C43" i="1"/>
  <c r="D6" i="7" s="1"/>
  <c r="C49" i="7"/>
  <c r="C13" i="7"/>
  <c r="B43" i="1"/>
  <c r="C6" i="7" s="1"/>
  <c r="C40" i="7"/>
  <c r="B8" i="22" s="1"/>
  <c r="D40" i="7"/>
  <c r="C8" i="22" s="1"/>
  <c r="E40" i="7"/>
  <c r="D8" i="22" s="1"/>
  <c r="F40" i="7"/>
  <c r="E8" i="22" s="1"/>
  <c r="G40" i="7"/>
  <c r="F8" i="22" s="1"/>
  <c r="H40" i="7"/>
  <c r="G8" i="22" s="1"/>
  <c r="I40" i="7"/>
  <c r="H8" i="22" s="1"/>
  <c r="Q4" i="8"/>
  <c r="Q5" i="8"/>
  <c r="Q6" i="8"/>
  <c r="Q7" i="8"/>
  <c r="Q8" i="8"/>
  <c r="Q9" i="8"/>
  <c r="B10" i="8"/>
  <c r="B18" i="8" s="1"/>
  <c r="C10" i="8"/>
  <c r="C18" i="8" s="1"/>
  <c r="D10" i="8"/>
  <c r="D18" i="8" s="1"/>
  <c r="E10" i="8"/>
  <c r="F10" i="8"/>
  <c r="G10" i="8"/>
  <c r="H10" i="8"/>
  <c r="H18" i="8" s="1"/>
  <c r="I10" i="8"/>
  <c r="I18" i="8" s="1"/>
  <c r="J10" i="8"/>
  <c r="J18" i="8" s="1"/>
  <c r="K10" i="8"/>
  <c r="K18" i="8" s="1"/>
  <c r="L10" i="8"/>
  <c r="L18" i="8" s="1"/>
  <c r="M10" i="8"/>
  <c r="N10" i="8"/>
  <c r="N18" i="8" s="1"/>
  <c r="O10" i="8"/>
  <c r="P10" i="8"/>
  <c r="Q10" i="8" s="1"/>
  <c r="Q12" i="8"/>
  <c r="Q13" i="8"/>
  <c r="Q14" i="8"/>
  <c r="Q15" i="8"/>
  <c r="Q16" i="8"/>
  <c r="Q17" i="8"/>
  <c r="Q18" i="8"/>
  <c r="Q20" i="8"/>
  <c r="Q21" i="8"/>
  <c r="Q22" i="8"/>
  <c r="Q23" i="8"/>
  <c r="Q24" i="8"/>
  <c r="I22" i="2" s="1"/>
  <c r="Q25" i="8"/>
  <c r="B27" i="8"/>
  <c r="B29" i="8" s="1"/>
  <c r="C27" i="8"/>
  <c r="C29" i="8" s="1"/>
  <c r="D27" i="8"/>
  <c r="D29" i="8" s="1"/>
  <c r="E27" i="8"/>
  <c r="F27" i="8"/>
  <c r="G27" i="8"/>
  <c r="G29" i="8" s="1"/>
  <c r="H27" i="8"/>
  <c r="H29" i="8" s="1"/>
  <c r="I27" i="8"/>
  <c r="I29" i="8" s="1"/>
  <c r="J27" i="8"/>
  <c r="J29" i="8" s="1"/>
  <c r="K27" i="8"/>
  <c r="K29" i="8" s="1"/>
  <c r="L27" i="8"/>
  <c r="L29" i="8" s="1"/>
  <c r="M27" i="8"/>
  <c r="M29" i="8" s="1"/>
  <c r="N27" i="8"/>
  <c r="N29" i="8" s="1"/>
  <c r="N39" i="8" s="1"/>
  <c r="P27" i="8"/>
  <c r="Q27" i="8" s="1"/>
  <c r="Q28" i="8"/>
  <c r="E29" i="8"/>
  <c r="F29" i="8"/>
  <c r="O29" i="8"/>
  <c r="Q31" i="8"/>
  <c r="Q32" i="8"/>
  <c r="Q33" i="8"/>
  <c r="Q34" i="8"/>
  <c r="I33" i="2" s="1"/>
  <c r="Q35" i="8"/>
  <c r="B36" i="8"/>
  <c r="B38" i="8" s="1"/>
  <c r="C36" i="8"/>
  <c r="C38" i="8" s="1"/>
  <c r="D36" i="8"/>
  <c r="D38" i="8" s="1"/>
  <c r="E36" i="8"/>
  <c r="E38" i="8" s="1"/>
  <c r="F36" i="8"/>
  <c r="F38" i="8" s="1"/>
  <c r="G36" i="8"/>
  <c r="G38" i="8" s="1"/>
  <c r="H36" i="8"/>
  <c r="H38" i="8" s="1"/>
  <c r="I36" i="8"/>
  <c r="I38" i="8" s="1"/>
  <c r="J36" i="8"/>
  <c r="J38" i="8" s="1"/>
  <c r="K36" i="8"/>
  <c r="K38" i="8" s="1"/>
  <c r="L36" i="8"/>
  <c r="L38" i="8" s="1"/>
  <c r="N36" i="8"/>
  <c r="Q36" i="8"/>
  <c r="I35" i="2" s="1"/>
  <c r="Q37" i="8"/>
  <c r="I36" i="2" s="1"/>
  <c r="Q38" i="8"/>
  <c r="I37" i="2" s="1"/>
  <c r="Q39" i="8"/>
  <c r="I38" i="2" s="1"/>
  <c r="Q23" i="6"/>
  <c r="Q22" i="6"/>
  <c r="Q21" i="6"/>
  <c r="Q20" i="6"/>
  <c r="Q16" i="6"/>
  <c r="Q14" i="6"/>
  <c r="Q12" i="6"/>
  <c r="Q11" i="6"/>
  <c r="Q10" i="6"/>
  <c r="Q7" i="6"/>
  <c r="Q6" i="6"/>
  <c r="Q4" i="6"/>
  <c r="Q3" i="6"/>
  <c r="B5" i="6"/>
  <c r="C5" i="6"/>
  <c r="D5" i="6"/>
  <c r="E5" i="6"/>
  <c r="F5" i="6"/>
  <c r="G5" i="6"/>
  <c r="H5" i="6"/>
  <c r="I5" i="6"/>
  <c r="J5" i="6"/>
  <c r="K5" i="6"/>
  <c r="L5" i="6"/>
  <c r="M5" i="6"/>
  <c r="N5" i="6"/>
  <c r="O5" i="6"/>
  <c r="P5" i="6"/>
  <c r="B8" i="6"/>
  <c r="C8" i="6"/>
  <c r="D8" i="6"/>
  <c r="E8" i="6"/>
  <c r="F8" i="6"/>
  <c r="G8" i="6"/>
  <c r="H8" i="6"/>
  <c r="I8" i="6"/>
  <c r="J8" i="6"/>
  <c r="K8" i="6"/>
  <c r="L8" i="6"/>
  <c r="M8" i="6"/>
  <c r="N8" i="6"/>
  <c r="O8" i="6"/>
  <c r="P8" i="6"/>
  <c r="C26" i="5"/>
  <c r="D26" i="5"/>
  <c r="E26" i="5"/>
  <c r="F26" i="5"/>
  <c r="G26" i="5"/>
  <c r="H26" i="5"/>
  <c r="I26" i="5"/>
  <c r="C12" i="5"/>
  <c r="D12" i="5"/>
  <c r="E12" i="5"/>
  <c r="F12" i="5"/>
  <c r="G12" i="5"/>
  <c r="H12" i="5"/>
  <c r="I12" i="5"/>
  <c r="C7" i="5"/>
  <c r="D7" i="5"/>
  <c r="E7" i="5"/>
  <c r="F7" i="5"/>
  <c r="G7" i="5"/>
  <c r="H7" i="5"/>
  <c r="I7" i="5"/>
  <c r="C4" i="5"/>
  <c r="D4" i="5"/>
  <c r="E4" i="5"/>
  <c r="F4" i="5"/>
  <c r="G4" i="5"/>
  <c r="H4" i="5"/>
  <c r="I4" i="5"/>
  <c r="C5" i="5"/>
  <c r="D5" i="5"/>
  <c r="E5" i="5"/>
  <c r="F5" i="5"/>
  <c r="G5" i="5"/>
  <c r="H5" i="5"/>
  <c r="I5" i="5"/>
  <c r="C6" i="5"/>
  <c r="D6" i="5"/>
  <c r="E6" i="5"/>
  <c r="F6" i="5"/>
  <c r="G6" i="5"/>
  <c r="H6" i="5"/>
  <c r="I6" i="5"/>
  <c r="C9" i="5"/>
  <c r="D9" i="5"/>
  <c r="E9" i="5"/>
  <c r="F9" i="5"/>
  <c r="G9" i="5"/>
  <c r="H9" i="5"/>
  <c r="I9" i="5"/>
  <c r="C10" i="5"/>
  <c r="D10" i="5"/>
  <c r="E10" i="5"/>
  <c r="F10" i="5"/>
  <c r="G10" i="5"/>
  <c r="H10" i="5"/>
  <c r="I10" i="5"/>
  <c r="C11" i="5"/>
  <c r="D11" i="5"/>
  <c r="E11" i="5"/>
  <c r="F11" i="5"/>
  <c r="G11" i="5"/>
  <c r="H11" i="5"/>
  <c r="I11" i="5"/>
  <c r="C13" i="5"/>
  <c r="D13" i="5"/>
  <c r="E13" i="5"/>
  <c r="F13" i="5"/>
  <c r="G13" i="5"/>
  <c r="H13" i="5"/>
  <c r="I13" i="5"/>
  <c r="C14" i="5"/>
  <c r="D14" i="5"/>
  <c r="E14" i="5"/>
  <c r="F14" i="5"/>
  <c r="G14" i="5"/>
  <c r="H14" i="5"/>
  <c r="I14" i="5"/>
  <c r="C15" i="5"/>
  <c r="D15" i="5"/>
  <c r="E15" i="5"/>
  <c r="F15" i="5"/>
  <c r="G15" i="5"/>
  <c r="H15" i="5"/>
  <c r="I15" i="5"/>
  <c r="C16" i="5"/>
  <c r="D16" i="5"/>
  <c r="E16" i="5"/>
  <c r="F16" i="5"/>
  <c r="G16" i="5"/>
  <c r="H16" i="5"/>
  <c r="I16" i="5"/>
  <c r="C18" i="5"/>
  <c r="D18" i="5"/>
  <c r="E18" i="5"/>
  <c r="F18" i="5"/>
  <c r="G18" i="5"/>
  <c r="H18" i="5"/>
  <c r="I18" i="5"/>
  <c r="C19" i="5"/>
  <c r="D19" i="5"/>
  <c r="E19" i="5"/>
  <c r="F19" i="5"/>
  <c r="G19" i="5"/>
  <c r="H19" i="5"/>
  <c r="I19" i="5"/>
  <c r="C20" i="5"/>
  <c r="D20" i="5"/>
  <c r="E20" i="5"/>
  <c r="F20" i="5"/>
  <c r="G20" i="5"/>
  <c r="H20" i="5"/>
  <c r="I20" i="5"/>
  <c r="C21" i="5"/>
  <c r="D21" i="5"/>
  <c r="E21" i="5"/>
  <c r="F21" i="5"/>
  <c r="G21" i="5"/>
  <c r="H21" i="5"/>
  <c r="I21" i="5"/>
  <c r="F22" i="5"/>
  <c r="G22" i="5"/>
  <c r="H22" i="5"/>
  <c r="I22" i="5"/>
  <c r="C22" i="5"/>
  <c r="D22" i="5"/>
  <c r="E22" i="5"/>
  <c r="C23" i="5"/>
  <c r="D23" i="5"/>
  <c r="E23" i="5"/>
  <c r="F23" i="5"/>
  <c r="G23" i="5"/>
  <c r="H23" i="5"/>
  <c r="I23" i="5"/>
  <c r="C24" i="5"/>
  <c r="D24" i="5"/>
  <c r="E24" i="5"/>
  <c r="F24" i="5"/>
  <c r="G24" i="5"/>
  <c r="H24" i="5"/>
  <c r="I24" i="5"/>
  <c r="C27" i="5"/>
  <c r="D27" i="5"/>
  <c r="E27" i="5"/>
  <c r="F27" i="5"/>
  <c r="G27" i="5"/>
  <c r="H27" i="5"/>
  <c r="I27" i="5"/>
  <c r="C28" i="5"/>
  <c r="D28" i="5"/>
  <c r="E28" i="5"/>
  <c r="F28" i="5"/>
  <c r="G28" i="5"/>
  <c r="H28" i="5"/>
  <c r="I28" i="5"/>
  <c r="I28" i="2"/>
  <c r="C30" i="5"/>
  <c r="D30" i="5"/>
  <c r="E30" i="5"/>
  <c r="F30" i="5"/>
  <c r="G30" i="5"/>
  <c r="H30" i="5"/>
  <c r="I30" i="5"/>
  <c r="C31" i="5"/>
  <c r="D31" i="5"/>
  <c r="E31" i="5"/>
  <c r="F31" i="5"/>
  <c r="G31" i="5"/>
  <c r="H31" i="5"/>
  <c r="I31" i="5"/>
  <c r="C32" i="5"/>
  <c r="D32" i="5"/>
  <c r="E32" i="5"/>
  <c r="F32" i="5"/>
  <c r="G32" i="5"/>
  <c r="H32" i="5"/>
  <c r="I32" i="5"/>
  <c r="C33" i="5"/>
  <c r="D33" i="5"/>
  <c r="E33" i="5"/>
  <c r="F33" i="5"/>
  <c r="G33" i="5"/>
  <c r="H33" i="5"/>
  <c r="I33" i="5"/>
  <c r="C34" i="5"/>
  <c r="D34" i="5"/>
  <c r="E34" i="5"/>
  <c r="F34" i="5"/>
  <c r="G34" i="5"/>
  <c r="H34" i="5"/>
  <c r="I34" i="5"/>
  <c r="C35" i="5"/>
  <c r="D35" i="5"/>
  <c r="E35" i="5"/>
  <c r="F35" i="5"/>
  <c r="G35" i="5"/>
  <c r="H35" i="5"/>
  <c r="I35" i="5"/>
  <c r="C36" i="5"/>
  <c r="D36" i="5"/>
  <c r="E36" i="5"/>
  <c r="F36" i="5"/>
  <c r="G36" i="5"/>
  <c r="H36" i="5"/>
  <c r="I36" i="5"/>
  <c r="C37" i="5"/>
  <c r="D37" i="5"/>
  <c r="E37" i="5"/>
  <c r="F37" i="5"/>
  <c r="G37" i="5"/>
  <c r="H37" i="5"/>
  <c r="I37" i="5"/>
  <c r="C3" i="7"/>
  <c r="B4" i="22" s="1"/>
  <c r="D3" i="7"/>
  <c r="C4" i="22" s="1"/>
  <c r="E3" i="7"/>
  <c r="D4" i="22" s="1"/>
  <c r="F3" i="7"/>
  <c r="E4" i="22" s="1"/>
  <c r="G3" i="7"/>
  <c r="F4" i="22" s="1"/>
  <c r="H3" i="7"/>
  <c r="G4" i="22" s="1"/>
  <c r="I3" i="7"/>
  <c r="H4" i="22" s="1"/>
  <c r="F5" i="22"/>
  <c r="B6" i="22"/>
  <c r="C6" i="22"/>
  <c r="D6" i="22"/>
  <c r="E6" i="22"/>
  <c r="F6" i="22"/>
  <c r="G6" i="22"/>
  <c r="H6" i="22"/>
  <c r="B7" i="22"/>
  <c r="C7" i="22"/>
  <c r="D7" i="22"/>
  <c r="E7" i="22"/>
  <c r="F7" i="22"/>
  <c r="G7" i="22"/>
  <c r="H7" i="22"/>
  <c r="J8" i="22"/>
  <c r="K8" i="22"/>
  <c r="L8" i="22"/>
  <c r="M8" i="22"/>
  <c r="N8" i="22"/>
  <c r="O8" i="22"/>
  <c r="B9" i="22"/>
  <c r="C9" i="22"/>
  <c r="D9" i="22"/>
  <c r="E9" i="22"/>
  <c r="F9" i="22"/>
  <c r="G9" i="22"/>
  <c r="H9" i="22"/>
  <c r="B10" i="22"/>
  <c r="C10" i="22"/>
  <c r="D10" i="22"/>
  <c r="E10" i="22"/>
  <c r="F10" i="22"/>
  <c r="G10" i="22"/>
  <c r="H10" i="22"/>
  <c r="B17" i="22"/>
  <c r="G17" i="22"/>
  <c r="H17" i="22"/>
  <c r="B3" i="3"/>
  <c r="B22" i="3" s="1"/>
  <c r="C3" i="3"/>
  <c r="C22" i="3" s="1"/>
  <c r="C19" i="22" s="1"/>
  <c r="D3" i="3"/>
  <c r="D22" i="3" s="1"/>
  <c r="E3" i="3"/>
  <c r="E22" i="3" s="1"/>
  <c r="E18" i="22" s="1"/>
  <c r="F3" i="3"/>
  <c r="F22" i="3" s="1"/>
  <c r="G3" i="3"/>
  <c r="G22" i="3" s="1"/>
  <c r="H3" i="3"/>
  <c r="H22" i="3" s="1"/>
  <c r="B47" i="3"/>
  <c r="C45" i="3" s="1"/>
  <c r="C47" i="3" s="1"/>
  <c r="D45" i="3" s="1"/>
  <c r="D47" i="3" s="1"/>
  <c r="E45" i="3" s="1"/>
  <c r="E47" i="3" s="1"/>
  <c r="F45" i="3" s="1"/>
  <c r="F47" i="3" s="1"/>
  <c r="G45" i="3" s="1"/>
  <c r="G47" i="3" s="1"/>
  <c r="H45" i="3" s="1"/>
  <c r="H47" i="3" s="1"/>
  <c r="I30" i="3"/>
  <c r="I35" i="3"/>
  <c r="C41" i="7"/>
  <c r="D41" i="7"/>
  <c r="E41" i="7"/>
  <c r="F41" i="7"/>
  <c r="G41" i="7"/>
  <c r="H41" i="7"/>
  <c r="I41" i="7"/>
  <c r="L48" i="2"/>
  <c r="J32" i="3"/>
  <c r="K32" i="3" s="1"/>
  <c r="K48" i="2"/>
  <c r="J48" i="2"/>
  <c r="I48" i="2"/>
  <c r="H48" i="2"/>
  <c r="H50" i="2" s="1"/>
  <c r="H33" i="3"/>
  <c r="H44" i="3" s="1"/>
  <c r="B8" i="2"/>
  <c r="C8" i="2"/>
  <c r="D8" i="5" s="1"/>
  <c r="D8" i="2"/>
  <c r="E8" i="5" s="1"/>
  <c r="E8" i="2"/>
  <c r="F8" i="2"/>
  <c r="G8" i="2"/>
  <c r="H8" i="2"/>
  <c r="I39" i="7" s="1"/>
  <c r="I13" i="2"/>
  <c r="J13" i="2" s="1"/>
  <c r="K13" i="2" s="1"/>
  <c r="I14" i="2"/>
  <c r="J14" i="2" s="1"/>
  <c r="K14" i="2" s="1"/>
  <c r="L14" i="2" s="1"/>
  <c r="M14" i="2" s="1"/>
  <c r="N14" i="2" s="1"/>
  <c r="O14" i="2" s="1"/>
  <c r="I21" i="2"/>
  <c r="J21" i="2" s="1"/>
  <c r="K21" i="2" s="1"/>
  <c r="L21" i="2" s="1"/>
  <c r="M21" i="2" s="1"/>
  <c r="N21" i="2" s="1"/>
  <c r="O21" i="2" s="1"/>
  <c r="J33" i="3"/>
  <c r="K33" i="3"/>
  <c r="L33" i="3"/>
  <c r="B24" i="2"/>
  <c r="C25" i="5" s="1"/>
  <c r="C24" i="2"/>
  <c r="D22" i="7" s="1"/>
  <c r="D24" i="2"/>
  <c r="E22" i="7" s="1"/>
  <c r="E24" i="2"/>
  <c r="F22" i="7" s="1"/>
  <c r="F24" i="2"/>
  <c r="G25" i="5" s="1"/>
  <c r="G24" i="2"/>
  <c r="H22" i="7" s="1"/>
  <c r="H24" i="2"/>
  <c r="I15" i="7" s="1"/>
  <c r="I13" i="4"/>
  <c r="I13" i="1" s="1"/>
  <c r="I30" i="1"/>
  <c r="J30" i="1" s="1"/>
  <c r="K30" i="1" s="1"/>
  <c r="L30" i="1" s="1"/>
  <c r="M30" i="1" s="1"/>
  <c r="I31" i="1"/>
  <c r="J31" i="1" s="1"/>
  <c r="C9" i="4"/>
  <c r="D9" i="4"/>
  <c r="E9" i="4"/>
  <c r="F9" i="4"/>
  <c r="G9" i="4"/>
  <c r="H9" i="4"/>
  <c r="I9" i="4"/>
  <c r="B44" i="1"/>
  <c r="C44" i="1"/>
  <c r="D44" i="1"/>
  <c r="E44" i="1"/>
  <c r="F44" i="1"/>
  <c r="G44" i="1"/>
  <c r="H44" i="1"/>
  <c r="B42" i="1"/>
  <c r="C42" i="1"/>
  <c r="D42" i="1"/>
  <c r="E42" i="1"/>
  <c r="F42" i="1"/>
  <c r="G42" i="1"/>
  <c r="H42" i="1"/>
  <c r="C32" i="1"/>
  <c r="C34" i="1" s="1"/>
  <c r="B32" i="1"/>
  <c r="B34" i="1" s="1"/>
  <c r="D32" i="1"/>
  <c r="D34" i="1" s="1"/>
  <c r="E32" i="1"/>
  <c r="F32" i="1"/>
  <c r="G32" i="1"/>
  <c r="G34" i="1" s="1"/>
  <c r="H32" i="1"/>
  <c r="D39" i="1"/>
  <c r="E39" i="1"/>
  <c r="F39" i="1"/>
  <c r="G39" i="1"/>
  <c r="H39" i="1"/>
  <c r="C39" i="1"/>
  <c r="D37" i="1"/>
  <c r="E37" i="1"/>
  <c r="F37" i="1"/>
  <c r="G37" i="1"/>
  <c r="H37" i="1"/>
  <c r="C37" i="1"/>
  <c r="D36" i="1"/>
  <c r="E36" i="1"/>
  <c r="F36" i="1"/>
  <c r="G36" i="1"/>
  <c r="H36" i="1"/>
  <c r="C36" i="1"/>
  <c r="G28" i="17"/>
  <c r="G38" i="17" s="1"/>
  <c r="F28" i="17"/>
  <c r="F48" i="17" s="1"/>
  <c r="E28" i="17"/>
  <c r="E48" i="17" s="1"/>
  <c r="G50" i="7"/>
  <c r="H50" i="7"/>
  <c r="B4" i="16"/>
  <c r="B7" i="16"/>
  <c r="I24" i="1"/>
  <c r="I25" i="1" s="1"/>
  <c r="C3" i="12"/>
  <c r="D3" i="12" s="1"/>
  <c r="C4" i="12"/>
  <c r="D4" i="12" s="1"/>
  <c r="C5" i="12"/>
  <c r="D5" i="12" s="1"/>
  <c r="C6" i="12"/>
  <c r="D6" i="12" s="1"/>
  <c r="C7" i="12"/>
  <c r="D7" i="12" s="1"/>
  <c r="C8" i="12"/>
  <c r="D8" i="12" s="1"/>
  <c r="C9" i="12"/>
  <c r="D9" i="12" s="1"/>
  <c r="C10" i="12"/>
  <c r="D10" i="12" s="1"/>
  <c r="D11" i="12"/>
  <c r="C12" i="12"/>
  <c r="D12" i="12" s="1"/>
  <c r="C13" i="12"/>
  <c r="D13" i="12" s="1"/>
  <c r="C14" i="12"/>
  <c r="D14" i="12" s="1"/>
  <c r="C15" i="12"/>
  <c r="D15" i="12" s="1"/>
  <c r="C16" i="12"/>
  <c r="D16" i="12" s="1"/>
  <c r="C17" i="12"/>
  <c r="D17" i="12" s="1"/>
  <c r="C18" i="12"/>
  <c r="D18" i="12" s="1"/>
  <c r="C19" i="12"/>
  <c r="D19" i="12" s="1"/>
  <c r="C20" i="12"/>
  <c r="D20" i="12" s="1"/>
  <c r="C21" i="12"/>
  <c r="D21" i="12" s="1"/>
  <c r="C22" i="12"/>
  <c r="D22" i="12" s="1"/>
  <c r="C23" i="12"/>
  <c r="D23" i="12" s="1"/>
  <c r="C24" i="12"/>
  <c r="D24" i="12" s="1"/>
  <c r="C25" i="12"/>
  <c r="D25" i="12" s="1"/>
  <c r="C26" i="12"/>
  <c r="D26" i="12" s="1"/>
  <c r="C27" i="12"/>
  <c r="D27" i="12" s="1"/>
  <c r="C28" i="12"/>
  <c r="D28" i="12" s="1"/>
  <c r="C29" i="12"/>
  <c r="D29" i="12" s="1"/>
  <c r="C30" i="12"/>
  <c r="D30" i="12" s="1"/>
  <c r="C31" i="12"/>
  <c r="D31" i="12" s="1"/>
  <c r="C33" i="12"/>
  <c r="D33" i="12" s="1"/>
  <c r="C34" i="12"/>
  <c r="D34" i="12" s="1"/>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F103" i="12" a="1"/>
  <c r="F103" i="12" s="1"/>
  <c r="C7" i="15"/>
  <c r="C9" i="15" s="1"/>
  <c r="C28" i="15" s="1"/>
  <c r="C21" i="15"/>
  <c r="C29" i="15" s="1"/>
  <c r="E65" i="17"/>
  <c r="F65" i="17" s="1"/>
  <c r="G65" i="17" s="1"/>
  <c r="H65" i="17" s="1"/>
  <c r="I65" i="17" s="1"/>
  <c r="J65" i="17" s="1"/>
  <c r="E26" i="17"/>
  <c r="F26" i="17" s="1"/>
  <c r="G26" i="17" s="1"/>
  <c r="H26" i="17" s="1"/>
  <c r="I26" i="17" s="1"/>
  <c r="J26" i="17" s="1"/>
  <c r="J33" i="17"/>
  <c r="J53" i="17" s="1"/>
  <c r="E36" i="17"/>
  <c r="F36" i="17" s="1"/>
  <c r="G36" i="17" s="1"/>
  <c r="H36" i="17" s="1"/>
  <c r="I36" i="17" s="1"/>
  <c r="J36" i="17" s="1"/>
  <c r="E46" i="17"/>
  <c r="F46" i="17" s="1"/>
  <c r="G46" i="17" s="1"/>
  <c r="H46" i="17" s="1"/>
  <c r="I46" i="17" s="1"/>
  <c r="J46" i="17" s="1"/>
  <c r="E56" i="17"/>
  <c r="F56" i="17" s="1"/>
  <c r="G56" i="17" s="1"/>
  <c r="H56" i="17" s="1"/>
  <c r="I56" i="17" s="1"/>
  <c r="J56" i="17" s="1"/>
  <c r="E111" i="17"/>
  <c r="D111" i="17" s="1"/>
  <c r="G111" i="17"/>
  <c r="H111" i="17" s="1"/>
  <c r="C113" i="17"/>
  <c r="C112" i="17" s="1"/>
  <c r="C115" i="17"/>
  <c r="C116" i="17" s="1"/>
  <c r="C3" i="4"/>
  <c r="D3" i="4"/>
  <c r="E3" i="4"/>
  <c r="F3" i="4"/>
  <c r="G3" i="4"/>
  <c r="H3" i="4"/>
  <c r="I3" i="4"/>
  <c r="C6" i="4"/>
  <c r="D6" i="4"/>
  <c r="E6" i="4"/>
  <c r="F6" i="4"/>
  <c r="G6" i="4"/>
  <c r="H6" i="4"/>
  <c r="I6" i="4"/>
  <c r="C4" i="4"/>
  <c r="D4" i="4"/>
  <c r="E4" i="4"/>
  <c r="F4" i="4"/>
  <c r="G4" i="4"/>
  <c r="H4" i="4"/>
  <c r="I4" i="4"/>
  <c r="C7" i="4"/>
  <c r="D7" i="4"/>
  <c r="E7" i="4"/>
  <c r="F7" i="4"/>
  <c r="G7" i="4"/>
  <c r="H7" i="4"/>
  <c r="I7" i="4"/>
  <c r="B12" i="1"/>
  <c r="C12" i="4" s="1"/>
  <c r="C12" i="1"/>
  <c r="D12" i="4" s="1"/>
  <c r="D12" i="1"/>
  <c r="E12" i="4" s="1"/>
  <c r="E12" i="1"/>
  <c r="F12" i="4" s="1"/>
  <c r="F12" i="1"/>
  <c r="G12" i="4" s="1"/>
  <c r="G12" i="1"/>
  <c r="H12" i="4" s="1"/>
  <c r="H12" i="1"/>
  <c r="I12" i="4" s="1"/>
  <c r="J25" i="1"/>
  <c r="K25" i="1"/>
  <c r="L25" i="1"/>
  <c r="M25" i="1"/>
  <c r="N25" i="1"/>
  <c r="O25" i="1"/>
  <c r="C19" i="4"/>
  <c r="D19" i="4"/>
  <c r="E19" i="4"/>
  <c r="F19" i="4"/>
  <c r="G19" i="4"/>
  <c r="H19" i="4"/>
  <c r="I19" i="4"/>
  <c r="C18" i="4"/>
  <c r="D18" i="4"/>
  <c r="E18" i="4"/>
  <c r="F18" i="4"/>
  <c r="G18" i="4"/>
  <c r="H18" i="4"/>
  <c r="I18" i="4"/>
  <c r="C17" i="4"/>
  <c r="D17" i="4"/>
  <c r="E17" i="4"/>
  <c r="F17" i="4"/>
  <c r="G17" i="4"/>
  <c r="H17" i="4"/>
  <c r="I17" i="4"/>
  <c r="C16" i="4"/>
  <c r="D16" i="4"/>
  <c r="E16" i="4"/>
  <c r="F16" i="4"/>
  <c r="G16" i="4"/>
  <c r="H16" i="4"/>
  <c r="I16" i="4"/>
  <c r="C15" i="4"/>
  <c r="D15" i="4"/>
  <c r="E15" i="4"/>
  <c r="F15" i="4"/>
  <c r="G15" i="4"/>
  <c r="H15" i="4"/>
  <c r="I15" i="4"/>
  <c r="C14" i="4"/>
  <c r="D14" i="4"/>
  <c r="E14" i="4"/>
  <c r="F14" i="4"/>
  <c r="G14" i="4"/>
  <c r="H14" i="4"/>
  <c r="I14" i="4"/>
  <c r="C13" i="4"/>
  <c r="D13" i="4"/>
  <c r="E13" i="4"/>
  <c r="F13" i="4"/>
  <c r="G13" i="4"/>
  <c r="H13" i="4"/>
  <c r="C11" i="4"/>
  <c r="D11" i="4"/>
  <c r="E11" i="4"/>
  <c r="F11" i="4"/>
  <c r="G11" i="4"/>
  <c r="H11" i="4"/>
  <c r="I11" i="4"/>
  <c r="C10" i="4"/>
  <c r="D10" i="4"/>
  <c r="E10" i="4"/>
  <c r="F10" i="4"/>
  <c r="G10" i="4"/>
  <c r="H10" i="4"/>
  <c r="I10" i="4"/>
  <c r="C8" i="4"/>
  <c r="D8" i="4"/>
  <c r="E8" i="4"/>
  <c r="F8" i="4"/>
  <c r="G8" i="4"/>
  <c r="H8" i="4"/>
  <c r="I8" i="4"/>
  <c r="C5" i="4"/>
  <c r="D5" i="4"/>
  <c r="E5" i="4"/>
  <c r="F5" i="4"/>
  <c r="G5" i="4"/>
  <c r="H5" i="4"/>
  <c r="I5" i="4"/>
  <c r="C3" i="32"/>
  <c r="C4" i="32"/>
  <c r="C5" i="32"/>
  <c r="C6" i="32"/>
  <c r="C7" i="32"/>
  <c r="C8" i="32"/>
  <c r="C9" i="32"/>
  <c r="C10" i="32"/>
  <c r="C11" i="32"/>
  <c r="C12" i="32"/>
  <c r="C13" i="32"/>
  <c r="C14" i="32"/>
  <c r="C15" i="32"/>
  <c r="C16" i="32"/>
  <c r="C17" i="32"/>
  <c r="C18" i="32"/>
  <c r="C19" i="32"/>
  <c r="C20" i="32"/>
  <c r="C21" i="32"/>
  <c r="C22" i="32"/>
  <c r="C23" i="32"/>
  <c r="C24" i="32"/>
  <c r="C25" i="32"/>
  <c r="C26" i="32"/>
  <c r="C27" i="32"/>
  <c r="C28" i="32"/>
  <c r="C29" i="32"/>
  <c r="C30" i="32"/>
  <c r="C31" i="32"/>
  <c r="C32" i="32"/>
  <c r="C33" i="32"/>
  <c r="C34" i="32"/>
  <c r="C35" i="32"/>
  <c r="C36" i="32"/>
  <c r="C37" i="32"/>
  <c r="C38" i="32"/>
  <c r="C39" i="32"/>
  <c r="C40" i="32"/>
  <c r="C41" i="32"/>
  <c r="C42" i="32"/>
  <c r="C43" i="32"/>
  <c r="C44" i="32"/>
  <c r="C45" i="32"/>
  <c r="C46" i="32"/>
  <c r="C47" i="32"/>
  <c r="C48" i="32"/>
  <c r="C49" i="32"/>
  <c r="C50" i="32"/>
  <c r="C51" i="32"/>
  <c r="C52" i="32"/>
  <c r="C53" i="32"/>
  <c r="C54" i="32"/>
  <c r="C55" i="32"/>
  <c r="C56" i="32"/>
  <c r="C57" i="32"/>
  <c r="C58" i="32"/>
  <c r="C59" i="32"/>
  <c r="C60" i="32"/>
  <c r="C61" i="32"/>
  <c r="C62" i="32"/>
  <c r="C63" i="32"/>
  <c r="C64" i="32"/>
  <c r="C65" i="32"/>
  <c r="C66" i="32"/>
  <c r="C67" i="32"/>
  <c r="C68" i="32"/>
  <c r="C69" i="32"/>
  <c r="C70" i="32"/>
  <c r="C71" i="32"/>
  <c r="C72" i="32"/>
  <c r="C73" i="32"/>
  <c r="C74" i="32"/>
  <c r="C75" i="32"/>
  <c r="C76" i="32"/>
  <c r="C77" i="32"/>
  <c r="C78" i="32"/>
  <c r="C79" i="32"/>
  <c r="C80" i="32"/>
  <c r="C81" i="32"/>
  <c r="C82" i="32"/>
  <c r="C83" i="32"/>
  <c r="C84" i="32"/>
  <c r="C85" i="32"/>
  <c r="C86" i="32"/>
  <c r="C87" i="32"/>
  <c r="C88" i="32"/>
  <c r="C89" i="32"/>
  <c r="C90" i="32"/>
  <c r="C91" i="32"/>
  <c r="C92" i="32"/>
  <c r="C93" i="32"/>
  <c r="C94" i="32"/>
  <c r="C95" i="32"/>
  <c r="C96" i="32"/>
  <c r="C97" i="32"/>
  <c r="O35" i="3"/>
  <c r="N35" i="3"/>
  <c r="M35" i="3"/>
  <c r="L35" i="3"/>
  <c r="K35" i="3"/>
  <c r="J35" i="3"/>
  <c r="K30" i="3"/>
  <c r="O30" i="3"/>
  <c r="D33" i="3"/>
  <c r="D44" i="3" s="1"/>
  <c r="O32" i="3"/>
  <c r="E33" i="3"/>
  <c r="F33" i="3"/>
  <c r="M30" i="3"/>
  <c r="L30" i="3"/>
  <c r="J30" i="3"/>
  <c r="G33" i="3"/>
  <c r="G44" i="3" s="1"/>
  <c r="L6" i="18" a="1"/>
  <c r="L6" i="18" s="1"/>
  <c r="C6" i="18" a="1"/>
  <c r="C6" i="18" s="1"/>
  <c r="D5" i="18" a="1"/>
  <c r="D5" i="18" s="1"/>
  <c r="E37" i="3"/>
  <c r="I12" i="7"/>
  <c r="H12" i="7"/>
  <c r="G12" i="7"/>
  <c r="F12" i="7"/>
  <c r="E12" i="7"/>
  <c r="D12" i="7"/>
  <c r="C12" i="7"/>
  <c r="I10" i="7"/>
  <c r="H10" i="7"/>
  <c r="G10" i="7"/>
  <c r="F10" i="7"/>
  <c r="E10" i="7"/>
  <c r="D10" i="7"/>
  <c r="C10" i="7"/>
  <c r="I4" i="7"/>
  <c r="H4" i="7"/>
  <c r="G4" i="7"/>
  <c r="F4" i="7"/>
  <c r="E4" i="7"/>
  <c r="D4" i="7"/>
  <c r="C4" i="7"/>
  <c r="I5" i="7"/>
  <c r="H5" i="7"/>
  <c r="G5" i="7"/>
  <c r="F5" i="7"/>
  <c r="E5" i="7"/>
  <c r="D5" i="7"/>
  <c r="C5" i="7"/>
  <c r="C15" i="15"/>
  <c r="C19" i="15"/>
  <c r="K14" i="14"/>
  <c r="C2" i="12"/>
  <c r="G3" i="12"/>
  <c r="I3" i="12"/>
  <c r="K3" i="12"/>
  <c r="G4" i="12"/>
  <c r="I4" i="12"/>
  <c r="K4" i="12"/>
  <c r="G5" i="12"/>
  <c r="I5" i="12"/>
  <c r="K5" i="12"/>
  <c r="G6" i="12"/>
  <c r="I6" i="12"/>
  <c r="K6" i="12"/>
  <c r="G7" i="12"/>
  <c r="I7" i="12"/>
  <c r="K7" i="12"/>
  <c r="G8" i="12"/>
  <c r="I8" i="12"/>
  <c r="K8" i="12"/>
  <c r="G9" i="12"/>
  <c r="I9" i="12"/>
  <c r="K9" i="12"/>
  <c r="G10" i="12"/>
  <c r="I10" i="12"/>
  <c r="K10" i="12"/>
  <c r="E11" i="12"/>
  <c r="G11" i="12"/>
  <c r="I11" i="12"/>
  <c r="K11" i="12"/>
  <c r="G12" i="12"/>
  <c r="I12" i="12"/>
  <c r="K12" i="12"/>
  <c r="G13" i="12"/>
  <c r="I13" i="12"/>
  <c r="K13" i="12"/>
  <c r="G14" i="12"/>
  <c r="I14" i="12"/>
  <c r="K14" i="12"/>
  <c r="G15" i="12"/>
  <c r="I15" i="12"/>
  <c r="K15" i="12"/>
  <c r="G16" i="12"/>
  <c r="I16" i="12"/>
  <c r="K16" i="12"/>
  <c r="G17" i="12"/>
  <c r="I17" i="12"/>
  <c r="K17" i="12"/>
  <c r="G18" i="12"/>
  <c r="I18" i="12"/>
  <c r="K18" i="12"/>
  <c r="G19" i="12"/>
  <c r="I19" i="12"/>
  <c r="K19" i="12"/>
  <c r="G20" i="12"/>
  <c r="I20" i="12"/>
  <c r="K20" i="12"/>
  <c r="G21" i="12"/>
  <c r="I21" i="12"/>
  <c r="K21" i="12"/>
  <c r="G22" i="12"/>
  <c r="I22" i="12"/>
  <c r="K22" i="12"/>
  <c r="G23" i="12"/>
  <c r="I23" i="12"/>
  <c r="K23" i="12"/>
  <c r="G24" i="12"/>
  <c r="I24" i="12"/>
  <c r="K24" i="12"/>
  <c r="G25" i="12"/>
  <c r="I25" i="12"/>
  <c r="K25" i="12"/>
  <c r="G26" i="12"/>
  <c r="I26" i="12"/>
  <c r="K26" i="12"/>
  <c r="G27" i="12"/>
  <c r="I27" i="12"/>
  <c r="K27" i="12"/>
  <c r="G28" i="12"/>
  <c r="I28" i="12"/>
  <c r="K28" i="12"/>
  <c r="G29" i="12"/>
  <c r="I29" i="12"/>
  <c r="K29" i="12"/>
  <c r="G30" i="12"/>
  <c r="I30" i="12"/>
  <c r="K30" i="12"/>
  <c r="G31" i="12"/>
  <c r="I31" i="12"/>
  <c r="K31" i="12"/>
  <c r="G32" i="12"/>
  <c r="I32" i="12"/>
  <c r="K32" i="12"/>
  <c r="G33" i="12"/>
  <c r="I33" i="12"/>
  <c r="K33" i="12"/>
  <c r="G34" i="12"/>
  <c r="I34" i="12"/>
  <c r="K34" i="12"/>
  <c r="E35" i="12"/>
  <c r="G35" i="12"/>
  <c r="I35" i="12"/>
  <c r="K35" i="12"/>
  <c r="E36" i="12"/>
  <c r="G36" i="12"/>
  <c r="I36" i="12"/>
  <c r="K36" i="12"/>
  <c r="E37" i="12"/>
  <c r="G37" i="12"/>
  <c r="I37" i="12"/>
  <c r="K37" i="12"/>
  <c r="E38" i="12"/>
  <c r="G38" i="12"/>
  <c r="I38" i="12"/>
  <c r="K38" i="12"/>
  <c r="E39" i="12"/>
  <c r="G39" i="12"/>
  <c r="I39" i="12"/>
  <c r="K39" i="12"/>
  <c r="E40" i="12"/>
  <c r="G40" i="12"/>
  <c r="I40" i="12"/>
  <c r="K40" i="12"/>
  <c r="E41" i="12"/>
  <c r="G41" i="12"/>
  <c r="I41" i="12"/>
  <c r="K41" i="12"/>
  <c r="E42" i="12"/>
  <c r="G42" i="12"/>
  <c r="I42" i="12"/>
  <c r="K42" i="12"/>
  <c r="E43" i="12"/>
  <c r="G43" i="12"/>
  <c r="I43" i="12"/>
  <c r="K43" i="12"/>
  <c r="E44" i="12"/>
  <c r="G44" i="12"/>
  <c r="I44" i="12"/>
  <c r="K44" i="12"/>
  <c r="E45" i="12"/>
  <c r="G45" i="12"/>
  <c r="I45" i="12"/>
  <c r="K45" i="12"/>
  <c r="E46" i="12"/>
  <c r="G46" i="12"/>
  <c r="I46" i="12"/>
  <c r="K46" i="12"/>
  <c r="E47" i="12"/>
  <c r="G47" i="12"/>
  <c r="I47" i="12"/>
  <c r="K47" i="12"/>
  <c r="E48" i="12"/>
  <c r="G48" i="12"/>
  <c r="I48" i="12"/>
  <c r="K48" i="12"/>
  <c r="E49" i="12"/>
  <c r="G49" i="12"/>
  <c r="I49" i="12"/>
  <c r="K49" i="12"/>
  <c r="E50" i="12"/>
  <c r="G50" i="12"/>
  <c r="I50" i="12"/>
  <c r="K50" i="12"/>
  <c r="E51" i="12"/>
  <c r="G51" i="12"/>
  <c r="I51" i="12"/>
  <c r="K51" i="12"/>
  <c r="E52" i="12"/>
  <c r="G52" i="12"/>
  <c r="I52" i="12"/>
  <c r="K52" i="12"/>
  <c r="E53" i="12"/>
  <c r="G53" i="12"/>
  <c r="I53" i="12"/>
  <c r="K53" i="12"/>
  <c r="E54" i="12"/>
  <c r="G54" i="12"/>
  <c r="I54" i="12"/>
  <c r="K54" i="12"/>
  <c r="E55" i="12"/>
  <c r="G55" i="12"/>
  <c r="I55" i="12"/>
  <c r="K55" i="12"/>
  <c r="E56" i="12"/>
  <c r="G56" i="12"/>
  <c r="I56" i="12"/>
  <c r="K56" i="12"/>
  <c r="E57" i="12"/>
  <c r="G57" i="12"/>
  <c r="I57" i="12"/>
  <c r="K57" i="12"/>
  <c r="E58" i="12"/>
  <c r="G58" i="12"/>
  <c r="I58" i="12"/>
  <c r="K58" i="12"/>
  <c r="E59" i="12"/>
  <c r="G59" i="12"/>
  <c r="I59" i="12"/>
  <c r="K59" i="12"/>
  <c r="E60" i="12"/>
  <c r="G60" i="12"/>
  <c r="I60" i="12"/>
  <c r="K60" i="12"/>
  <c r="E61" i="12"/>
  <c r="G61" i="12"/>
  <c r="I61" i="12"/>
  <c r="K61" i="12"/>
  <c r="E62" i="12"/>
  <c r="G62" i="12"/>
  <c r="I62" i="12"/>
  <c r="K62" i="12"/>
  <c r="E63" i="12"/>
  <c r="G63" i="12"/>
  <c r="I63" i="12"/>
  <c r="K63" i="12"/>
  <c r="E64" i="12"/>
  <c r="G64" i="12"/>
  <c r="I64" i="12"/>
  <c r="K64" i="12"/>
  <c r="E65" i="12"/>
  <c r="G65" i="12"/>
  <c r="I65" i="12"/>
  <c r="K65" i="12"/>
  <c r="E66" i="12"/>
  <c r="G66" i="12"/>
  <c r="I66" i="12"/>
  <c r="K66" i="12"/>
  <c r="E67" i="12"/>
  <c r="G67" i="12"/>
  <c r="I67" i="12"/>
  <c r="K67" i="12"/>
  <c r="E68" i="12"/>
  <c r="G68" i="12"/>
  <c r="I68" i="12"/>
  <c r="K68" i="12"/>
  <c r="E69" i="12"/>
  <c r="G69" i="12"/>
  <c r="I69" i="12"/>
  <c r="K69" i="12"/>
  <c r="E70" i="12"/>
  <c r="G70" i="12"/>
  <c r="I70" i="12"/>
  <c r="K70" i="12"/>
  <c r="E71" i="12"/>
  <c r="G71" i="12"/>
  <c r="I71" i="12"/>
  <c r="K71" i="12"/>
  <c r="E72" i="12"/>
  <c r="G72" i="12"/>
  <c r="I72" i="12"/>
  <c r="K72" i="12"/>
  <c r="E73" i="12"/>
  <c r="G73" i="12"/>
  <c r="I73" i="12"/>
  <c r="K73" i="12"/>
  <c r="E74" i="12"/>
  <c r="G74" i="12"/>
  <c r="I74" i="12"/>
  <c r="K74" i="12"/>
  <c r="E75" i="12"/>
  <c r="G75" i="12"/>
  <c r="I75" i="12"/>
  <c r="K75" i="12"/>
  <c r="E76" i="12"/>
  <c r="G76" i="12"/>
  <c r="I76" i="12"/>
  <c r="K76" i="12"/>
  <c r="E77" i="12"/>
  <c r="G77" i="12"/>
  <c r="I77" i="12"/>
  <c r="K77" i="12"/>
  <c r="E78" i="12"/>
  <c r="G78" i="12"/>
  <c r="I78" i="12"/>
  <c r="K78" i="12"/>
  <c r="E79" i="12"/>
  <c r="G79" i="12"/>
  <c r="I79" i="12"/>
  <c r="K79" i="12"/>
  <c r="E80" i="12"/>
  <c r="G80" i="12"/>
  <c r="I80" i="12"/>
  <c r="K80" i="12"/>
  <c r="E81" i="12"/>
  <c r="G81" i="12"/>
  <c r="I81" i="12"/>
  <c r="K81" i="12"/>
  <c r="E82" i="12"/>
  <c r="G82" i="12"/>
  <c r="I82" i="12"/>
  <c r="K82" i="12"/>
  <c r="E83" i="12"/>
  <c r="G83" i="12"/>
  <c r="I83" i="12"/>
  <c r="K83" i="12"/>
  <c r="E84" i="12"/>
  <c r="G84" i="12"/>
  <c r="I84" i="12"/>
  <c r="K84" i="12"/>
  <c r="E85" i="12"/>
  <c r="G85" i="12"/>
  <c r="I85" i="12"/>
  <c r="K85" i="12"/>
  <c r="E86" i="12"/>
  <c r="G86" i="12"/>
  <c r="I86" i="12"/>
  <c r="K86" i="12"/>
  <c r="E87" i="12"/>
  <c r="G87" i="12"/>
  <c r="I87" i="12"/>
  <c r="K87" i="12"/>
  <c r="E88" i="12"/>
  <c r="G88" i="12"/>
  <c r="I88" i="12"/>
  <c r="K88" i="12"/>
  <c r="E89" i="12"/>
  <c r="G89" i="12"/>
  <c r="I89" i="12"/>
  <c r="K89" i="12"/>
  <c r="E90" i="12"/>
  <c r="G90" i="12"/>
  <c r="I90" i="12"/>
  <c r="K90" i="12"/>
  <c r="E91" i="12"/>
  <c r="G91" i="12"/>
  <c r="I91" i="12"/>
  <c r="K91" i="12"/>
  <c r="E92" i="12"/>
  <c r="I92" i="12"/>
  <c r="K92" i="12"/>
  <c r="E93" i="12"/>
  <c r="I93" i="12"/>
  <c r="K93" i="12"/>
  <c r="E94" i="12"/>
  <c r="I94" i="12"/>
  <c r="K94" i="12"/>
  <c r="E95" i="12"/>
  <c r="I95" i="12"/>
  <c r="K95" i="12"/>
  <c r="E96" i="12"/>
  <c r="I96" i="12"/>
  <c r="K96" i="12"/>
  <c r="E97" i="12"/>
  <c r="I97" i="12"/>
  <c r="K97" i="12"/>
  <c r="E98" i="12"/>
  <c r="I98" i="12"/>
  <c r="K98" i="12"/>
  <c r="E99" i="12"/>
  <c r="I99" i="12"/>
  <c r="K99" i="12"/>
  <c r="F102" i="12"/>
  <c r="F44" i="3"/>
  <c r="C44" i="3"/>
  <c r="B44" i="3"/>
  <c r="I37" i="7"/>
  <c r="H37" i="7"/>
  <c r="G37" i="7"/>
  <c r="F37" i="7"/>
  <c r="E37" i="7"/>
  <c r="D37" i="7"/>
  <c r="C37" i="7"/>
  <c r="D31" i="7"/>
  <c r="C31" i="7"/>
  <c r="C39" i="7"/>
  <c r="E39" i="7"/>
  <c r="F39" i="7"/>
  <c r="H39" i="7"/>
  <c r="K13" i="14"/>
  <c r="L13" i="14"/>
  <c r="L14" i="14"/>
  <c r="L15" i="14" s="1"/>
  <c r="K3" i="14"/>
  <c r="L3" i="14"/>
  <c r="G7" i="27" a="1"/>
  <c r="F31" i="7" l="1"/>
  <c r="B25" i="10"/>
  <c r="I9" i="6"/>
  <c r="I13" i="6" s="1"/>
  <c r="I15" i="6" s="1"/>
  <c r="I17" i="6" s="1"/>
  <c r="D20" i="10"/>
  <c r="Q8" i="6"/>
  <c r="G31" i="7"/>
  <c r="C20" i="15"/>
  <c r="G9" i="6"/>
  <c r="G13" i="6" s="1"/>
  <c r="G15" i="6" s="1"/>
  <c r="G17" i="6" s="1"/>
  <c r="E8" i="10"/>
  <c r="G20" i="7"/>
  <c r="F14" i="22" s="1"/>
  <c r="H31" i="7"/>
  <c r="P9" i="6"/>
  <c r="P13" i="6" s="1"/>
  <c r="P15" i="6" s="1"/>
  <c r="P17" i="6" s="1"/>
  <c r="D9" i="6"/>
  <c r="D13" i="6" s="1"/>
  <c r="D15" i="6" s="1"/>
  <c r="D17" i="6" s="1"/>
  <c r="C9" i="10"/>
  <c r="I31" i="7"/>
  <c r="I50" i="7"/>
  <c r="E19" i="10"/>
  <c r="H5" i="22"/>
  <c r="B10" i="5"/>
  <c r="B8" i="16"/>
  <c r="F30" i="17" s="1"/>
  <c r="F23" i="7"/>
  <c r="E15" i="22" s="1"/>
  <c r="H38" i="1"/>
  <c r="H9" i="6"/>
  <c r="H13" i="6" s="1"/>
  <c r="H15" i="6" s="1"/>
  <c r="H17" i="6" s="1"/>
  <c r="E6" i="7"/>
  <c r="C39" i="8"/>
  <c r="B39" i="8"/>
  <c r="E38" i="1"/>
  <c r="B12" i="5"/>
  <c r="I12" i="2" s="1"/>
  <c r="J12" i="2" s="1"/>
  <c r="K12" i="2" s="1"/>
  <c r="L12" i="2" s="1"/>
  <c r="M12" i="2" s="1"/>
  <c r="N12" i="2" s="1"/>
  <c r="O12" i="2" s="1"/>
  <c r="L9" i="6"/>
  <c r="L13" i="6" s="1"/>
  <c r="L15" i="6" s="1"/>
  <c r="L17" i="6" s="1"/>
  <c r="O9" i="6"/>
  <c r="O13" i="6" s="1"/>
  <c r="O15" i="6" s="1"/>
  <c r="O17" i="6" s="1"/>
  <c r="C9" i="6"/>
  <c r="C13" i="6" s="1"/>
  <c r="C15" i="6" s="1"/>
  <c r="C17" i="6" s="1"/>
  <c r="E18" i="10"/>
  <c r="K9" i="6"/>
  <c r="K13" i="6" s="1"/>
  <c r="K15" i="6" s="1"/>
  <c r="K17" i="6" s="1"/>
  <c r="E44" i="3"/>
  <c r="J9" i="6"/>
  <c r="J13" i="6" s="1"/>
  <c r="J15" i="6" s="1"/>
  <c r="J17" i="6" s="1"/>
  <c r="Q5" i="6"/>
  <c r="Q9" i="6" s="1"/>
  <c r="Q13" i="6" s="1"/>
  <c r="Q15" i="6" s="1"/>
  <c r="Q17" i="6" s="1"/>
  <c r="E31" i="7"/>
  <c r="B34" i="5"/>
  <c r="E7" i="10"/>
  <c r="N9" i="6"/>
  <c r="N13" i="6" s="1"/>
  <c r="N15" i="6" s="1"/>
  <c r="N17" i="6" s="1"/>
  <c r="B9" i="6"/>
  <c r="B13" i="6" s="1"/>
  <c r="B15" i="6" s="1"/>
  <c r="B17" i="6" s="1"/>
  <c r="M9" i="6"/>
  <c r="M13" i="6" s="1"/>
  <c r="M15" i="6" s="1"/>
  <c r="M17" i="6" s="1"/>
  <c r="P29" i="8"/>
  <c r="Q29" i="8" s="1"/>
  <c r="G38" i="1"/>
  <c r="E11" i="10"/>
  <c r="B14" i="5"/>
  <c r="I39" i="8"/>
  <c r="B27" i="5"/>
  <c r="G39" i="8"/>
  <c r="D9" i="10"/>
  <c r="C30" i="15"/>
  <c r="F8" i="7" s="1"/>
  <c r="H20" i="7"/>
  <c r="G14" i="22" s="1"/>
  <c r="L39" i="8"/>
  <c r="D39" i="8"/>
  <c r="C20" i="7"/>
  <c r="B14" i="22" s="1"/>
  <c r="E23" i="7"/>
  <c r="D15" i="22" s="1"/>
  <c r="C15" i="7"/>
  <c r="G15" i="7"/>
  <c r="E14" i="10"/>
  <c r="B36" i="5"/>
  <c r="B31" i="5"/>
  <c r="I25" i="5"/>
  <c r="B26" i="5"/>
  <c r="B28" i="5"/>
  <c r="B11" i="5"/>
  <c r="D39" i="7"/>
  <c r="B5" i="22"/>
  <c r="K39" i="8"/>
  <c r="B15" i="5"/>
  <c r="J23" i="2"/>
  <c r="K23" i="2" s="1"/>
  <c r="L23" i="2" s="1"/>
  <c r="M23" i="2" s="1"/>
  <c r="N23" i="2" s="1"/>
  <c r="O23" i="2" s="1"/>
  <c r="B9" i="10"/>
  <c r="I50" i="2"/>
  <c r="I25" i="2" s="1"/>
  <c r="J28" i="7" s="1"/>
  <c r="B9" i="5"/>
  <c r="H34" i="1"/>
  <c r="H40" i="1" s="1"/>
  <c r="I20" i="7"/>
  <c r="H14" i="22" s="1"/>
  <c r="J49" i="2"/>
  <c r="J50" i="2" s="1"/>
  <c r="J25" i="2" s="1"/>
  <c r="B37" i="5"/>
  <c r="B32" i="5"/>
  <c r="B24" i="5"/>
  <c r="C8" i="5"/>
  <c r="H39" i="8"/>
  <c r="C50" i="7"/>
  <c r="B35" i="5"/>
  <c r="B30" i="5"/>
  <c r="B13" i="5"/>
  <c r="F38" i="1"/>
  <c r="B33" i="5"/>
  <c r="B16" i="5"/>
  <c r="F9" i="6"/>
  <c r="F13" i="6" s="1"/>
  <c r="F15" i="6" s="1"/>
  <c r="F17" i="6" s="1"/>
  <c r="L5" i="18" a="1"/>
  <c r="L5" i="18" s="1"/>
  <c r="E34" i="1"/>
  <c r="E40" i="1" s="1"/>
  <c r="E9" i="6"/>
  <c r="E13" i="6" s="1"/>
  <c r="E15" i="6" s="1"/>
  <c r="E17" i="6" s="1"/>
  <c r="D103" i="12" a="1"/>
  <c r="D103" i="12" s="1"/>
  <c r="D106" i="12" s="1"/>
  <c r="D11" i="17" s="1"/>
  <c r="D12" i="17" s="1"/>
  <c r="J30" i="5"/>
  <c r="J26" i="5"/>
  <c r="J37" i="5"/>
  <c r="J31" i="5"/>
  <c r="D85" i="17"/>
  <c r="J35" i="5"/>
  <c r="J34" i="5"/>
  <c r="F39" i="8"/>
  <c r="J32" i="5"/>
  <c r="J33" i="2"/>
  <c r="K33" i="2" s="1"/>
  <c r="L33" i="2" s="1"/>
  <c r="M33" i="2" s="1"/>
  <c r="N33" i="2" s="1"/>
  <c r="O33" i="2" s="1"/>
  <c r="E39" i="8"/>
  <c r="J36" i="5"/>
  <c r="J16" i="7"/>
  <c r="K6" i="18" a="1"/>
  <c r="K6" i="18" s="1"/>
  <c r="J39" i="8"/>
  <c r="L32" i="3"/>
  <c r="K49" i="2"/>
  <c r="K50" i="2" s="1"/>
  <c r="K25" i="2" s="1"/>
  <c r="D102" i="12"/>
  <c r="D105" i="12" s="1"/>
  <c r="H25" i="5"/>
  <c r="G22" i="7"/>
  <c r="F20" i="7"/>
  <c r="E14" i="22" s="1"/>
  <c r="F34" i="1"/>
  <c r="G40" i="1" s="1"/>
  <c r="D23" i="7"/>
  <c r="C15" i="22" s="1"/>
  <c r="E20" i="7"/>
  <c r="D14" i="22" s="1"/>
  <c r="C22" i="7"/>
  <c r="F15" i="7"/>
  <c r="F25" i="5"/>
  <c r="I22" i="7"/>
  <c r="D38" i="1"/>
  <c r="I23" i="7"/>
  <c r="H15" i="22" s="1"/>
  <c r="C23" i="7"/>
  <c r="B15" i="22" s="1"/>
  <c r="D20" i="7"/>
  <c r="C14" i="22" s="1"/>
  <c r="E25" i="5"/>
  <c r="D25" i="5"/>
  <c r="I8" i="5"/>
  <c r="E15" i="7"/>
  <c r="D40" i="1"/>
  <c r="H23" i="7"/>
  <c r="G15" i="22" s="1"/>
  <c r="B11" i="22"/>
  <c r="J28" i="5"/>
  <c r="H8" i="5"/>
  <c r="C20" i="10"/>
  <c r="G8" i="5"/>
  <c r="B15" i="10"/>
  <c r="E15" i="10" s="1"/>
  <c r="B20" i="10"/>
  <c r="G23" i="7"/>
  <c r="F15" i="22" s="1"/>
  <c r="F8" i="5"/>
  <c r="D15" i="7"/>
  <c r="H15" i="7"/>
  <c r="E50" i="7"/>
  <c r="C40" i="1"/>
  <c r="D11" i="22"/>
  <c r="G39" i="7"/>
  <c r="D14" i="17"/>
  <c r="D15" i="17" s="1"/>
  <c r="D87" i="17"/>
  <c r="G5" i="22"/>
  <c r="E5" i="22"/>
  <c r="I32" i="1"/>
  <c r="C38" i="1"/>
  <c r="C18" i="22"/>
  <c r="F11" i="22"/>
  <c r="B59" i="1"/>
  <c r="F50" i="7"/>
  <c r="G19" i="22"/>
  <c r="G18" i="22"/>
  <c r="B20" i="5"/>
  <c r="B7" i="4"/>
  <c r="B6" i="5"/>
  <c r="E4" i="10"/>
  <c r="G11" i="22"/>
  <c r="B23" i="5"/>
  <c r="B18" i="5"/>
  <c r="B4" i="5"/>
  <c r="E11" i="22"/>
  <c r="B21" i="5"/>
  <c r="H11" i="22"/>
  <c r="C11" i="22"/>
  <c r="B19" i="5"/>
  <c r="B4" i="4"/>
  <c r="B5" i="5"/>
  <c r="E19" i="22"/>
  <c r="B7" i="5"/>
  <c r="I7" i="2" s="1"/>
  <c r="J7" i="2" s="1"/>
  <c r="E6" i="10"/>
  <c r="B3" i="4"/>
  <c r="K31" i="1"/>
  <c r="L31" i="1" s="1"/>
  <c r="J32" i="1"/>
  <c r="N30" i="1"/>
  <c r="B19" i="22"/>
  <c r="B18" i="22"/>
  <c r="H18" i="22"/>
  <c r="H19" i="22"/>
  <c r="D19" i="22"/>
  <c r="D18" i="22"/>
  <c r="D28" i="3"/>
  <c r="F18" i="22"/>
  <c r="F19" i="22"/>
  <c r="D50" i="7"/>
  <c r="C5" i="22"/>
  <c r="E38" i="17"/>
  <c r="F38" i="17"/>
  <c r="G48" i="17"/>
  <c r="J43" i="17"/>
  <c r="G7" i="27"/>
  <c r="P7" i="27" s="1"/>
  <c r="C7" i="27" a="1"/>
  <c r="F7" i="27" a="1"/>
  <c r="E7" i="27" a="1"/>
  <c r="H7" i="27" a="1"/>
  <c r="D7" i="27" a="1"/>
  <c r="A7" i="27" a="1"/>
  <c r="J48" i="7" l="1"/>
  <c r="C9" i="7"/>
  <c r="G8" i="7"/>
  <c r="C14" i="7"/>
  <c r="F32" i="7"/>
  <c r="E32" i="7"/>
  <c r="D16" i="17"/>
  <c r="D17" i="17" s="1"/>
  <c r="F35" i="7"/>
  <c r="J27" i="7"/>
  <c r="I17" i="22" s="1"/>
  <c r="E8" i="7"/>
  <c r="H32" i="7"/>
  <c r="I14" i="7"/>
  <c r="G32" i="7"/>
  <c r="F34" i="7"/>
  <c r="C32" i="7"/>
  <c r="H8" i="7"/>
  <c r="H33" i="7"/>
  <c r="H35" i="7"/>
  <c r="G30" i="7"/>
  <c r="H30" i="17"/>
  <c r="H50" i="17" s="1"/>
  <c r="G30" i="17"/>
  <c r="I30" i="17"/>
  <c r="I50" i="17" s="1"/>
  <c r="D30" i="17"/>
  <c r="D40" i="17" s="1"/>
  <c r="J30" i="17"/>
  <c r="J40" i="17" s="1"/>
  <c r="E30" i="17"/>
  <c r="E50" i="17" s="1"/>
  <c r="D30" i="7"/>
  <c r="C34" i="7"/>
  <c r="D14" i="7"/>
  <c r="G35" i="7"/>
  <c r="E9" i="7"/>
  <c r="E30" i="7"/>
  <c r="G33" i="7"/>
  <c r="F33" i="7"/>
  <c r="E9" i="10"/>
  <c r="E34" i="7"/>
  <c r="D9" i="7"/>
  <c r="H14" i="7"/>
  <c r="G14" i="7"/>
  <c r="D18" i="17"/>
  <c r="D83" i="17" s="1"/>
  <c r="D34" i="7"/>
  <c r="H30" i="7"/>
  <c r="F40" i="1"/>
  <c r="E20" i="10"/>
  <c r="C30" i="7"/>
  <c r="H9" i="7"/>
  <c r="G34" i="7"/>
  <c r="I9" i="7"/>
  <c r="I34" i="7"/>
  <c r="D32" i="7"/>
  <c r="H34" i="7"/>
  <c r="I32" i="7"/>
  <c r="E35" i="7"/>
  <c r="F30" i="7"/>
  <c r="I30" i="7"/>
  <c r="E33" i="7"/>
  <c r="D8" i="7"/>
  <c r="F9" i="7"/>
  <c r="C8" i="7"/>
  <c r="I33" i="7"/>
  <c r="B8" i="5"/>
  <c r="F14" i="7"/>
  <c r="D33" i="7"/>
  <c r="I35" i="7"/>
  <c r="C33" i="7"/>
  <c r="C35" i="7"/>
  <c r="B25" i="5"/>
  <c r="I8" i="7"/>
  <c r="E14" i="7"/>
  <c r="D35" i="7"/>
  <c r="G9" i="7"/>
  <c r="G40" i="17"/>
  <c r="G50" i="17"/>
  <c r="I38" i="1"/>
  <c r="B50" i="1"/>
  <c r="F40" i="17"/>
  <c r="F50" i="17"/>
  <c r="K32" i="1"/>
  <c r="K38" i="1" s="1"/>
  <c r="L49" i="2"/>
  <c r="L50" i="2" s="1"/>
  <c r="L25" i="2" s="1"/>
  <c r="M32" i="3"/>
  <c r="H7" i="27"/>
  <c r="Q7" i="27" s="1"/>
  <c r="K82" i="27"/>
  <c r="K45" i="27"/>
  <c r="K35" i="27"/>
  <c r="K27" i="27"/>
  <c r="K9" i="27"/>
  <c r="K44" i="27"/>
  <c r="K86" i="27"/>
  <c r="K98" i="27"/>
  <c r="K51" i="27"/>
  <c r="K15" i="27"/>
  <c r="K24" i="27"/>
  <c r="K62" i="27"/>
  <c r="K26" i="27"/>
  <c r="K36" i="27"/>
  <c r="K17" i="27"/>
  <c r="K16" i="27"/>
  <c r="K84" i="27"/>
  <c r="K20" i="27"/>
  <c r="K94" i="27"/>
  <c r="K47" i="27"/>
  <c r="K37" i="27"/>
  <c r="K91" i="27"/>
  <c r="K11" i="27"/>
  <c r="K77" i="27"/>
  <c r="K88" i="27"/>
  <c r="K75" i="27"/>
  <c r="K12" i="27"/>
  <c r="K95" i="27"/>
  <c r="K92" i="27"/>
  <c r="K79" i="27"/>
  <c r="K41" i="27"/>
  <c r="K28" i="27"/>
  <c r="K50" i="27"/>
  <c r="K65" i="27"/>
  <c r="K68" i="27"/>
  <c r="K78" i="27"/>
  <c r="K46" i="27"/>
  <c r="K32" i="27"/>
  <c r="A7" i="27"/>
  <c r="K49" i="27"/>
  <c r="K39" i="27"/>
  <c r="K93" i="27"/>
  <c r="K13" i="27"/>
  <c r="K55" i="27"/>
  <c r="K90" i="27"/>
  <c r="K73" i="27"/>
  <c r="K29" i="27"/>
  <c r="K8" i="27"/>
  <c r="K59" i="27"/>
  <c r="K64" i="27"/>
  <c r="K61" i="27"/>
  <c r="K66" i="27"/>
  <c r="K76" i="27"/>
  <c r="K67" i="27"/>
  <c r="K19" i="27"/>
  <c r="K56" i="27"/>
  <c r="K23" i="27"/>
  <c r="K57" i="27"/>
  <c r="K81" i="27"/>
  <c r="K83" i="27"/>
  <c r="K22" i="27"/>
  <c r="K85" i="27"/>
  <c r="K87" i="27"/>
  <c r="K21" i="27"/>
  <c r="K31" i="27"/>
  <c r="K97" i="27"/>
  <c r="K40" i="27"/>
  <c r="K52" i="27"/>
  <c r="K72" i="27"/>
  <c r="K80" i="27"/>
  <c r="K58" i="27"/>
  <c r="K10" i="27"/>
  <c r="K48" i="27"/>
  <c r="K74" i="27"/>
  <c r="K63" i="27"/>
  <c r="K60" i="27"/>
  <c r="K14" i="27"/>
  <c r="K34" i="27"/>
  <c r="K30" i="27"/>
  <c r="K38" i="27"/>
  <c r="K89" i="27"/>
  <c r="K69" i="27"/>
  <c r="K70" i="27"/>
  <c r="K43" i="27"/>
  <c r="K33" i="27"/>
  <c r="K25" i="27"/>
  <c r="K7" i="27"/>
  <c r="K42" i="27"/>
  <c r="K53" i="27"/>
  <c r="K71" i="27"/>
  <c r="K54" i="27"/>
  <c r="K18" i="27"/>
  <c r="K96" i="27"/>
  <c r="C7" i="27"/>
  <c r="L7" i="27" s="1"/>
  <c r="D7" i="27"/>
  <c r="M7" i="27" s="1"/>
  <c r="E7" i="27"/>
  <c r="N7" i="27" s="1"/>
  <c r="F7" i="27"/>
  <c r="O7" i="27" s="1"/>
  <c r="J38" i="1"/>
  <c r="I16" i="3"/>
  <c r="K7" i="2"/>
  <c r="J16" i="3"/>
  <c r="O30" i="1"/>
  <c r="L32" i="1"/>
  <c r="M31" i="1"/>
  <c r="P49" i="27"/>
  <c r="P84" i="27"/>
  <c r="P67" i="27"/>
  <c r="P52" i="27"/>
  <c r="P46" i="27"/>
  <c r="P27" i="27"/>
  <c r="P18" i="27"/>
  <c r="P51" i="27"/>
  <c r="P98" i="27"/>
  <c r="P17" i="27"/>
  <c r="P9" i="27"/>
  <c r="P74" i="27"/>
  <c r="P65" i="27"/>
  <c r="P63" i="27"/>
  <c r="P56" i="27"/>
  <c r="P72" i="27"/>
  <c r="P91" i="27"/>
  <c r="P78" i="27"/>
  <c r="P73" i="27"/>
  <c r="P54" i="27"/>
  <c r="P86" i="27"/>
  <c r="P61" i="27"/>
  <c r="P82" i="27"/>
  <c r="P37" i="27"/>
  <c r="P75" i="27"/>
  <c r="P80" i="27"/>
  <c r="P23" i="27"/>
  <c r="P64" i="27"/>
  <c r="P42" i="27"/>
  <c r="P53" i="27"/>
  <c r="P11" i="27"/>
  <c r="P76" i="27"/>
  <c r="P69" i="27"/>
  <c r="P89" i="27"/>
  <c r="P50" i="27"/>
  <c r="P70" i="27"/>
  <c r="P16" i="27"/>
  <c r="P96" i="27"/>
  <c r="P30" i="27"/>
  <c r="P25" i="27"/>
  <c r="P15" i="27"/>
  <c r="P48" i="27"/>
  <c r="P68" i="27"/>
  <c r="P14" i="27"/>
  <c r="P94" i="27"/>
  <c r="P40" i="27"/>
  <c r="P13" i="27"/>
  <c r="P12" i="27"/>
  <c r="P92" i="27"/>
  <c r="P38" i="27"/>
  <c r="P95" i="27"/>
  <c r="P60" i="27"/>
  <c r="P21" i="27"/>
  <c r="P44" i="27"/>
  <c r="P45" i="27"/>
  <c r="P10" i="27"/>
  <c r="P28" i="27"/>
  <c r="P36" i="27"/>
  <c r="P83" i="27"/>
  <c r="G47" i="7" a="1"/>
  <c r="G47" i="7" s="1"/>
  <c r="I47" i="7" a="1"/>
  <c r="I47" i="7" s="1"/>
  <c r="G46" i="7" a="1"/>
  <c r="G46" i="7" s="1"/>
  <c r="I46" i="7" a="1"/>
  <c r="I46" i="7" s="1"/>
  <c r="G45" i="7" a="1"/>
  <c r="G45" i="7" s="1"/>
  <c r="I45" i="7" a="1"/>
  <c r="I45" i="7" s="1"/>
  <c r="J45" i="7" a="1"/>
  <c r="J45" i="7" s="1"/>
  <c r="H46" i="7" a="1"/>
  <c r="H46" i="7" s="1"/>
  <c r="E47" i="7" a="1"/>
  <c r="E47" i="7" s="1"/>
  <c r="H45" i="7" a="1"/>
  <c r="H45" i="7" s="1"/>
  <c r="F47" i="7" a="1"/>
  <c r="F47" i="7" s="1"/>
  <c r="F46" i="7" a="1"/>
  <c r="F46" i="7" s="1"/>
  <c r="F45" i="7" a="1"/>
  <c r="F45" i="7" s="1"/>
  <c r="E46" i="7" a="1"/>
  <c r="E46" i="7" s="1"/>
  <c r="E45" i="7" a="1"/>
  <c r="E45" i="7" s="1"/>
  <c r="D47" i="7" a="1"/>
  <c r="D47" i="7" s="1"/>
  <c r="H47" i="7" a="1"/>
  <c r="H47" i="7" s="1"/>
  <c r="C45" i="7" a="1"/>
  <c r="C45" i="7" s="1"/>
  <c r="D46" i="7" a="1"/>
  <c r="D46" i="7" s="1"/>
  <c r="C47" i="7" a="1"/>
  <c r="C47" i="7" s="1"/>
  <c r="D45" i="7" a="1"/>
  <c r="D45" i="7" s="1"/>
  <c r="C46" i="7" a="1"/>
  <c r="C46" i="7" s="1"/>
  <c r="P62" i="27"/>
  <c r="P87" i="27"/>
  <c r="P66" i="27"/>
  <c r="P43" i="27"/>
  <c r="P8" i="27"/>
  <c r="P26" i="27"/>
  <c r="P34" i="27"/>
  <c r="P71" i="27"/>
  <c r="P58" i="27"/>
  <c r="P81" i="27"/>
  <c r="P33" i="27"/>
  <c r="P41" i="27"/>
  <c r="P90" i="27"/>
  <c r="P24" i="27"/>
  <c r="P32" i="27"/>
  <c r="P59" i="27"/>
  <c r="P93" i="27"/>
  <c r="P79" i="27"/>
  <c r="P31" i="27"/>
  <c r="P39" i="27"/>
  <c r="P57" i="27"/>
  <c r="P22" i="27"/>
  <c r="P97" i="27"/>
  <c r="P47" i="27"/>
  <c r="P19" i="27"/>
  <c r="P77" i="27"/>
  <c r="P29" i="27"/>
  <c r="P88" i="27"/>
  <c r="P55" i="27"/>
  <c r="P20" i="27"/>
  <c r="P85" i="27"/>
  <c r="P35" i="27"/>
  <c r="Q28" i="27" l="1"/>
  <c r="Q72" i="27"/>
  <c r="Q66" i="27"/>
  <c r="Q14" i="27"/>
  <c r="Q78" i="27"/>
  <c r="Q11" i="27"/>
  <c r="N75" i="27"/>
  <c r="Q93" i="27"/>
  <c r="Q54" i="27"/>
  <c r="Q36" i="27"/>
  <c r="Q59" i="27"/>
  <c r="Q68" i="27"/>
  <c r="Q31" i="27"/>
  <c r="Q56" i="27"/>
  <c r="Q12" i="27"/>
  <c r="L38" i="1"/>
  <c r="H40" i="17"/>
  <c r="E40" i="17"/>
  <c r="J50" i="17"/>
  <c r="I40" i="17"/>
  <c r="D50" i="17"/>
  <c r="D23" i="17"/>
  <c r="D31" i="17" s="1"/>
  <c r="E79" i="17" s="1"/>
  <c r="O71" i="27"/>
  <c r="O32" i="27"/>
  <c r="O8" i="27"/>
  <c r="O24" i="27"/>
  <c r="Q91" i="27"/>
  <c r="Q71" i="27"/>
  <c r="Q58" i="27"/>
  <c r="Q94" i="27"/>
  <c r="Q47" i="27"/>
  <c r="Q70" i="27"/>
  <c r="N25" i="27"/>
  <c r="Q35" i="27"/>
  <c r="Q40" i="27"/>
  <c r="Q89" i="27"/>
  <c r="N51" i="27"/>
  <c r="Q90" i="27"/>
  <c r="Q29" i="27"/>
  <c r="Q16" i="27"/>
  <c r="Q80" i="27"/>
  <c r="N37" i="27"/>
  <c r="Q38" i="27"/>
  <c r="Q61" i="27"/>
  <c r="Q92" i="27"/>
  <c r="Q96" i="27"/>
  <c r="Q42" i="27"/>
  <c r="Q23" i="27"/>
  <c r="Q50" i="27"/>
  <c r="Q41" i="27"/>
  <c r="Q79" i="27"/>
  <c r="N12" i="27"/>
  <c r="Q26" i="27"/>
  <c r="Q25" i="27"/>
  <c r="Q87" i="27"/>
  <c r="Q10" i="27"/>
  <c r="Q48" i="27"/>
  <c r="Q60" i="27"/>
  <c r="N92" i="27"/>
  <c r="N10" i="27"/>
  <c r="Q73" i="27"/>
  <c r="Q74" i="27"/>
  <c r="Q65" i="27"/>
  <c r="Q44" i="27"/>
  <c r="Q49" i="27"/>
  <c r="Q33" i="27"/>
  <c r="Q13" i="27"/>
  <c r="Q46" i="27"/>
  <c r="Q52" i="27"/>
  <c r="Q69" i="27"/>
  <c r="Q18" i="27"/>
  <c r="Q98" i="27"/>
  <c r="Q76" i="27"/>
  <c r="Q53" i="27"/>
  <c r="N95" i="27"/>
  <c r="Q82" i="27"/>
  <c r="Q64" i="27"/>
  <c r="Q15" i="27"/>
  <c r="Q17" i="27"/>
  <c r="N77" i="27"/>
  <c r="N62" i="27"/>
  <c r="Q84" i="27"/>
  <c r="Q34" i="27"/>
  <c r="N26" i="27"/>
  <c r="O30" i="27"/>
  <c r="N41" i="27"/>
  <c r="N86" i="27"/>
  <c r="Q9" i="27"/>
  <c r="N69" i="27"/>
  <c r="Q63" i="27"/>
  <c r="N18" i="27"/>
  <c r="N20" i="27"/>
  <c r="N19" i="27"/>
  <c r="Q43" i="27"/>
  <c r="N45" i="27"/>
  <c r="Q55" i="27"/>
  <c r="Q75" i="27"/>
  <c r="N9" i="27"/>
  <c r="Q67" i="27"/>
  <c r="N46" i="27"/>
  <c r="Q57" i="27"/>
  <c r="Q51" i="27"/>
  <c r="Q88" i="27"/>
  <c r="N90" i="27"/>
  <c r="Q62" i="27"/>
  <c r="Q86" i="27"/>
  <c r="Q77" i="27"/>
  <c r="N29" i="27"/>
  <c r="N76" i="27"/>
  <c r="N22" i="27"/>
  <c r="N48" i="27"/>
  <c r="N84" i="27"/>
  <c r="N32" i="27"/>
  <c r="N11" i="27"/>
  <c r="Q19" i="27"/>
  <c r="Q20" i="27"/>
  <c r="N68" i="27"/>
  <c r="N73" i="27"/>
  <c r="Q37" i="27"/>
  <c r="Q81" i="27"/>
  <c r="N38" i="27"/>
  <c r="N83" i="27"/>
  <c r="N85" i="27"/>
  <c r="Q24" i="27"/>
  <c r="Q83" i="27"/>
  <c r="Q8" i="27"/>
  <c r="Q21" i="27"/>
  <c r="Q22" i="27"/>
  <c r="N63" i="27"/>
  <c r="N8" i="27"/>
  <c r="N93" i="27"/>
  <c r="Q32" i="27"/>
  <c r="Q85" i="27"/>
  <c r="Q27" i="27"/>
  <c r="N96" i="27"/>
  <c r="N55" i="27"/>
  <c r="N31" i="27"/>
  <c r="N52" i="27"/>
  <c r="Q45" i="27"/>
  <c r="Q30" i="27"/>
  <c r="N80" i="27"/>
  <c r="N88" i="27"/>
  <c r="N23" i="27"/>
  <c r="N15" i="27"/>
  <c r="N64" i="27"/>
  <c r="Q39" i="27"/>
  <c r="N60" i="27"/>
  <c r="N78" i="27"/>
  <c r="N65" i="27"/>
  <c r="N98" i="27"/>
  <c r="N91" i="27"/>
  <c r="Q97" i="27"/>
  <c r="N61" i="27"/>
  <c r="O88" i="27"/>
  <c r="N97" i="27"/>
  <c r="N44" i="27"/>
  <c r="N21" i="27"/>
  <c r="N28" i="27"/>
  <c r="M37" i="27"/>
  <c r="M59" i="27"/>
  <c r="M89" i="27"/>
  <c r="M12" i="27"/>
  <c r="O10" i="27"/>
  <c r="O28" i="27"/>
  <c r="O50" i="27"/>
  <c r="N39" i="27"/>
  <c r="N24" i="27"/>
  <c r="N49" i="27"/>
  <c r="N94" i="27"/>
  <c r="N82" i="27"/>
  <c r="Q95" i="27"/>
  <c r="O89" i="27"/>
  <c r="M43" i="27"/>
  <c r="M10" i="27"/>
  <c r="M47" i="27"/>
  <c r="M34" i="27"/>
  <c r="M35" i="27"/>
  <c r="M45" i="27"/>
  <c r="M27" i="27"/>
  <c r="M14" i="27"/>
  <c r="M85" i="27"/>
  <c r="M93" i="27"/>
  <c r="M49" i="27"/>
  <c r="M67" i="27"/>
  <c r="M91" i="27"/>
  <c r="M71" i="27"/>
  <c r="M60" i="27"/>
  <c r="M38" i="27"/>
  <c r="M69" i="27"/>
  <c r="M95" i="27"/>
  <c r="M13" i="27"/>
  <c r="M75" i="27"/>
  <c r="M73" i="27"/>
  <c r="M92" i="27"/>
  <c r="M22" i="27"/>
  <c r="O79" i="27"/>
  <c r="O9" i="27"/>
  <c r="O61" i="27"/>
  <c r="L77" i="27"/>
  <c r="O85" i="27"/>
  <c r="L43" i="27"/>
  <c r="O45" i="27"/>
  <c r="O68" i="27"/>
  <c r="O66" i="27"/>
  <c r="L33" i="27"/>
  <c r="L45" i="27"/>
  <c r="O72" i="27"/>
  <c r="O17" i="27"/>
  <c r="O58" i="27"/>
  <c r="O48" i="27"/>
  <c r="O94" i="27"/>
  <c r="O18" i="27"/>
  <c r="O53" i="27"/>
  <c r="O38" i="27"/>
  <c r="O92" i="27"/>
  <c r="O42" i="27"/>
  <c r="O54" i="27"/>
  <c r="O64" i="27"/>
  <c r="L12" i="27"/>
  <c r="L96" i="27"/>
  <c r="O21" i="27"/>
  <c r="O84" i="27"/>
  <c r="O65" i="27"/>
  <c r="O67" i="27"/>
  <c r="O76" i="27"/>
  <c r="O55" i="27"/>
  <c r="O77" i="27"/>
  <c r="O44" i="27"/>
  <c r="L15" i="27"/>
  <c r="O13" i="27"/>
  <c r="O75" i="27"/>
  <c r="O52" i="27"/>
  <c r="O60" i="27"/>
  <c r="O90" i="27"/>
  <c r="O93" i="27"/>
  <c r="O34" i="27"/>
  <c r="O56" i="27"/>
  <c r="O83" i="27"/>
  <c r="O74" i="27"/>
  <c r="O12" i="27"/>
  <c r="M68" i="27"/>
  <c r="O33" i="27"/>
  <c r="O82" i="27"/>
  <c r="O15" i="27"/>
  <c r="O23" i="27"/>
  <c r="O43" i="27"/>
  <c r="O11" i="27"/>
  <c r="N16" i="27"/>
  <c r="N42" i="27"/>
  <c r="N57" i="27"/>
  <c r="O22" i="27"/>
  <c r="O25" i="27"/>
  <c r="O14" i="27"/>
  <c r="O40" i="27"/>
  <c r="N30" i="27"/>
  <c r="O47" i="27"/>
  <c r="O86" i="27"/>
  <c r="O81" i="27"/>
  <c r="N70" i="27"/>
  <c r="N79" i="27"/>
  <c r="N81" i="27"/>
  <c r="N72" i="27"/>
  <c r="N33" i="27"/>
  <c r="N43" i="27"/>
  <c r="N14" i="27"/>
  <c r="N34" i="27"/>
  <c r="N53" i="27"/>
  <c r="O19" i="27"/>
  <c r="O63" i="27"/>
  <c r="L35" i="27"/>
  <c r="O70" i="27"/>
  <c r="N74" i="27"/>
  <c r="O46" i="27"/>
  <c r="O57" i="27"/>
  <c r="N13" i="27"/>
  <c r="N56" i="27"/>
  <c r="N35" i="27"/>
  <c r="N47" i="27"/>
  <c r="N54" i="27"/>
  <c r="N40" i="27"/>
  <c r="O95" i="27"/>
  <c r="N36" i="27"/>
  <c r="O62" i="27"/>
  <c r="N66" i="27"/>
  <c r="N87" i="27"/>
  <c r="O31" i="27"/>
  <c r="N59" i="27"/>
  <c r="N67" i="27"/>
  <c r="N89" i="27"/>
  <c r="N58" i="27"/>
  <c r="N27" i="27"/>
  <c r="N50" i="27"/>
  <c r="O98" i="27"/>
  <c r="N17" i="27"/>
  <c r="N71" i="27"/>
  <c r="M74" i="27"/>
  <c r="O16" i="27"/>
  <c r="O96" i="27"/>
  <c r="O29" i="27"/>
  <c r="O36" i="27"/>
  <c r="O69" i="27"/>
  <c r="O41" i="27"/>
  <c r="L9" i="27"/>
  <c r="L13" i="27"/>
  <c r="L98" i="27"/>
  <c r="L67" i="27"/>
  <c r="L27" i="27"/>
  <c r="L51" i="27"/>
  <c r="L23" i="27"/>
  <c r="L58" i="27"/>
  <c r="L32" i="27"/>
  <c r="L42" i="27"/>
  <c r="L89" i="27"/>
  <c r="L37" i="27"/>
  <c r="L10" i="27"/>
  <c r="L25" i="27"/>
  <c r="L14" i="27"/>
  <c r="L31" i="27"/>
  <c r="L11" i="27"/>
  <c r="L39" i="27"/>
  <c r="L47" i="27"/>
  <c r="M46" i="27"/>
  <c r="M78" i="27"/>
  <c r="M25" i="27"/>
  <c r="O27" i="27"/>
  <c r="O73" i="27"/>
  <c r="L91" i="27"/>
  <c r="O78" i="27"/>
  <c r="O26" i="27"/>
  <c r="O80" i="27"/>
  <c r="O97" i="27"/>
  <c r="O35" i="27"/>
  <c r="L95" i="27"/>
  <c r="O51" i="27"/>
  <c r="O39" i="27"/>
  <c r="O91" i="27"/>
  <c r="O37" i="27"/>
  <c r="O49" i="27"/>
  <c r="O20" i="27"/>
  <c r="M61" i="27"/>
  <c r="M77" i="27"/>
  <c r="M16" i="27"/>
  <c r="M32" i="27"/>
  <c r="M44" i="27"/>
  <c r="M90" i="27"/>
  <c r="M96" i="27"/>
  <c r="M52" i="27"/>
  <c r="M39" i="27"/>
  <c r="M82" i="27"/>
  <c r="M86" i="27"/>
  <c r="M23" i="27"/>
  <c r="M79" i="27"/>
  <c r="M24" i="27"/>
  <c r="M62" i="27"/>
  <c r="M84" i="27"/>
  <c r="M57" i="27"/>
  <c r="M19" i="27"/>
  <c r="M63" i="27"/>
  <c r="M97" i="27"/>
  <c r="M76" i="27"/>
  <c r="M33" i="27"/>
  <c r="M26" i="27"/>
  <c r="M17" i="27"/>
  <c r="M65" i="27"/>
  <c r="M21" i="27"/>
  <c r="M58" i="27"/>
  <c r="M50" i="27"/>
  <c r="M83" i="27"/>
  <c r="M31" i="27"/>
  <c r="M40" i="27"/>
  <c r="M28" i="27"/>
  <c r="M87" i="27"/>
  <c r="M53" i="27"/>
  <c r="M81" i="27"/>
  <c r="M9" i="27"/>
  <c r="O87" i="27"/>
  <c r="M51" i="27"/>
  <c r="M20" i="27"/>
  <c r="M18" i="27"/>
  <c r="L53" i="27"/>
  <c r="M64" i="27"/>
  <c r="M80" i="27"/>
  <c r="L81" i="27"/>
  <c r="L68" i="27"/>
  <c r="M41" i="27"/>
  <c r="M70" i="27"/>
  <c r="M94" i="27"/>
  <c r="M56" i="27"/>
  <c r="L57" i="27"/>
  <c r="O59" i="27"/>
  <c r="L73" i="27"/>
  <c r="L82" i="27"/>
  <c r="L36" i="27"/>
  <c r="L72" i="27"/>
  <c r="L66" i="27"/>
  <c r="L71" i="27"/>
  <c r="L74" i="27"/>
  <c r="L46" i="27"/>
  <c r="L8" i="27"/>
  <c r="L38" i="27"/>
  <c r="L40" i="27"/>
  <c r="L65" i="27"/>
  <c r="L63" i="27"/>
  <c r="L59" i="27"/>
  <c r="L19" i="27"/>
  <c r="M42" i="27"/>
  <c r="L86" i="27"/>
  <c r="L79" i="27"/>
  <c r="L90" i="27"/>
  <c r="L75" i="27"/>
  <c r="L88" i="27"/>
  <c r="L70" i="27"/>
  <c r="L61" i="27"/>
  <c r="L52" i="27"/>
  <c r="L60" i="27"/>
  <c r="L50" i="27"/>
  <c r="M36" i="27"/>
  <c r="L48" i="27"/>
  <c r="L69" i="27"/>
  <c r="L30" i="27"/>
  <c r="L87" i="27"/>
  <c r="L94" i="27"/>
  <c r="M30" i="27"/>
  <c r="M29" i="27"/>
  <c r="L28" i="27"/>
  <c r="L17" i="27"/>
  <c r="L18" i="27"/>
  <c r="L84" i="27"/>
  <c r="M8" i="27"/>
  <c r="L62" i="27"/>
  <c r="L16" i="27"/>
  <c r="M48" i="27"/>
  <c r="L44" i="27"/>
  <c r="L92" i="27"/>
  <c r="L76" i="27"/>
  <c r="L80" i="27"/>
  <c r="M54" i="27"/>
  <c r="L78" i="27"/>
  <c r="L22" i="27"/>
  <c r="M11" i="27"/>
  <c r="L64" i="27"/>
  <c r="L93" i="27"/>
  <c r="L97" i="27"/>
  <c r="L24" i="27"/>
  <c r="L20" i="27"/>
  <c r="M15" i="27"/>
  <c r="M88" i="27"/>
  <c r="M66" i="27"/>
  <c r="L54" i="27"/>
  <c r="L85" i="27"/>
  <c r="L26" i="27"/>
  <c r="L49" i="27"/>
  <c r="L83" i="27"/>
  <c r="L21" i="27"/>
  <c r="M72" i="27"/>
  <c r="L55" i="27"/>
  <c r="L41" i="27"/>
  <c r="L34" i="27"/>
  <c r="M55" i="27"/>
  <c r="L56" i="27"/>
  <c r="L29" i="27"/>
  <c r="M98" i="27"/>
  <c r="N31" i="1"/>
  <c r="M32" i="1"/>
  <c r="M38" i="1" s="1"/>
  <c r="L7" i="2"/>
  <c r="K16" i="3"/>
  <c r="D17" i="7" l="1"/>
  <c r="D18" i="7" s="1"/>
  <c r="I17" i="7"/>
  <c r="I18" i="7" s="1"/>
  <c r="D79" i="17"/>
  <c r="C17" i="7"/>
  <c r="C18" i="7" s="1"/>
  <c r="G17" i="7"/>
  <c r="G18" i="7" s="1"/>
  <c r="F17" i="7"/>
  <c r="F18" i="7" s="1"/>
  <c r="H79" i="17"/>
  <c r="E17" i="7"/>
  <c r="E18" i="7" s="1"/>
  <c r="J79" i="17"/>
  <c r="D51" i="17"/>
  <c r="H17" i="7"/>
  <c r="H18" i="7" s="1"/>
  <c r="D41" i="17"/>
  <c r="I79" i="17"/>
  <c r="G79" i="17"/>
  <c r="F79" i="17"/>
  <c r="J32" i="17"/>
  <c r="M7" i="2"/>
  <c r="L16" i="3"/>
  <c r="O31" i="1"/>
  <c r="O32" i="1" s="1"/>
  <c r="N32" i="1"/>
  <c r="N38" i="1" s="1"/>
  <c r="J52" i="17" l="1"/>
  <c r="J42" i="17"/>
  <c r="B51" i="1"/>
  <c r="O38" i="1"/>
  <c r="N7" i="2"/>
  <c r="N16" i="3" s="1"/>
  <c r="M16" i="3"/>
  <c r="O7" i="2" l="1"/>
  <c r="O16" i="3" s="1"/>
  <c r="N39" i="1" l="1"/>
  <c r="L39" i="1"/>
  <c r="M39" i="1"/>
  <c r="K39" i="1"/>
  <c r="J39" i="1"/>
  <c r="J34" i="1"/>
  <c r="O39" i="1"/>
  <c r="B52" i="1"/>
  <c r="N34" i="1"/>
  <c r="I34" i="1"/>
  <c r="I40" i="1" s="1"/>
  <c r="M34" i="1"/>
  <c r="O34" i="1"/>
  <c r="O5" i="1" s="1"/>
  <c r="L34" i="1"/>
  <c r="L5" i="1" s="1"/>
  <c r="I39" i="1"/>
  <c r="K34" i="1"/>
  <c r="K5" i="1" s="1"/>
  <c r="K5" i="3" s="1"/>
  <c r="L18" i="1" l="1"/>
  <c r="L9" i="1"/>
  <c r="N40" i="1"/>
  <c r="I5" i="1"/>
  <c r="B53" i="1"/>
  <c r="M40" i="1"/>
  <c r="L7" i="1"/>
  <c r="L7" i="3"/>
  <c r="L10" i="2"/>
  <c r="K9" i="1"/>
  <c r="K10" i="1" s="1"/>
  <c r="J40" i="1"/>
  <c r="K40" i="1"/>
  <c r="O5" i="2"/>
  <c r="P21" i="7" s="1"/>
  <c r="O27" i="3"/>
  <c r="O11" i="3"/>
  <c r="O22" i="2"/>
  <c r="O20" i="2"/>
  <c r="O7" i="3"/>
  <c r="O15" i="2"/>
  <c r="O3" i="1"/>
  <c r="O10" i="2"/>
  <c r="O5" i="3"/>
  <c r="O14" i="1"/>
  <c r="O18" i="1"/>
  <c r="O4" i="1"/>
  <c r="O7" i="1"/>
  <c r="K27" i="3"/>
  <c r="K18" i="1"/>
  <c r="K15" i="2"/>
  <c r="K5" i="2"/>
  <c r="L13" i="1"/>
  <c r="L9" i="3" s="1"/>
  <c r="L12" i="3" s="1"/>
  <c r="K7" i="3"/>
  <c r="K11" i="3"/>
  <c r="K4" i="1"/>
  <c r="K22" i="2"/>
  <c r="K3" i="1"/>
  <c r="K7" i="1"/>
  <c r="K20" i="2"/>
  <c r="L42" i="3"/>
  <c r="K10" i="2"/>
  <c r="M3" i="7"/>
  <c r="L4" i="22" s="1"/>
  <c r="K14" i="1"/>
  <c r="O40" i="1"/>
  <c r="L11" i="3"/>
  <c r="J5" i="1"/>
  <c r="F27" i="17" s="1"/>
  <c r="G27" i="17"/>
  <c r="M5" i="1"/>
  <c r="L14" i="1"/>
  <c r="N5" i="1"/>
  <c r="J27" i="17" s="1"/>
  <c r="L10" i="1"/>
  <c r="L19" i="2" s="1"/>
  <c r="L40" i="1"/>
  <c r="L4" i="1"/>
  <c r="L22" i="2"/>
  <c r="L20" i="2"/>
  <c r="L5" i="3"/>
  <c r="L5" i="2"/>
  <c r="L8" i="1"/>
  <c r="L15" i="2"/>
  <c r="L27" i="3"/>
  <c r="M13" i="1"/>
  <c r="M9" i="3" s="1"/>
  <c r="M12" i="3" s="1"/>
  <c r="L3" i="1"/>
  <c r="I15" i="2" l="1"/>
  <c r="I11" i="3"/>
  <c r="I7" i="3"/>
  <c r="I5" i="3"/>
  <c r="J44" i="7" s="1"/>
  <c r="I20" i="2"/>
  <c r="I21" i="3" s="1"/>
  <c r="I9" i="1"/>
  <c r="I8" i="1" s="1"/>
  <c r="J21" i="5"/>
  <c r="D66" i="17"/>
  <c r="I27" i="3"/>
  <c r="I28" i="3" s="1"/>
  <c r="J13" i="1"/>
  <c r="J9" i="3" s="1"/>
  <c r="J12" i="3" s="1"/>
  <c r="J23" i="5"/>
  <c r="I4" i="1"/>
  <c r="J4" i="4" s="1"/>
  <c r="J24" i="5"/>
  <c r="I7" i="1"/>
  <c r="J7" i="4" s="1"/>
  <c r="I3" i="1"/>
  <c r="J3" i="4" s="1"/>
  <c r="J5" i="4"/>
  <c r="B5" i="4" s="1"/>
  <c r="J11" i="4"/>
  <c r="B11" i="4" s="1"/>
  <c r="I10" i="2"/>
  <c r="K8" i="1"/>
  <c r="K18" i="2" s="1"/>
  <c r="J22" i="5"/>
  <c r="B22" i="5" s="1"/>
  <c r="J13" i="4"/>
  <c r="B13" i="4" s="1"/>
  <c r="J12" i="4"/>
  <c r="B12" i="4" s="1"/>
  <c r="I6" i="1"/>
  <c r="J6" i="4" s="1"/>
  <c r="B6" i="4" s="1"/>
  <c r="L6" i="1" s="1"/>
  <c r="I5" i="2"/>
  <c r="I14" i="3" s="1"/>
  <c r="I18" i="1"/>
  <c r="J18" i="4" s="1"/>
  <c r="B18" i="4" s="1"/>
  <c r="I14" i="1"/>
  <c r="J14" i="4" s="1"/>
  <c r="B14" i="4" s="1"/>
  <c r="J7" i="5"/>
  <c r="L3" i="7"/>
  <c r="K4" i="22" s="1"/>
  <c r="K19" i="2"/>
  <c r="L19" i="3" s="1"/>
  <c r="K15" i="1"/>
  <c r="L7" i="7" s="1"/>
  <c r="B57" i="1"/>
  <c r="G29" i="17"/>
  <c r="G39" i="17" s="1"/>
  <c r="I10" i="1"/>
  <c r="D29" i="17" s="1"/>
  <c r="L17" i="3"/>
  <c r="H27" i="17"/>
  <c r="M15" i="2"/>
  <c r="M17" i="3" s="1"/>
  <c r="M7" i="1"/>
  <c r="N13" i="1"/>
  <c r="N9" i="3" s="1"/>
  <c r="N12" i="3" s="1"/>
  <c r="M18" i="1"/>
  <c r="M3" i="1"/>
  <c r="M22" i="2"/>
  <c r="M14" i="1"/>
  <c r="M10" i="2"/>
  <c r="M4" i="1"/>
  <c r="M20" i="2"/>
  <c r="M21" i="3" s="1"/>
  <c r="M7" i="3"/>
  <c r="M27" i="3"/>
  <c r="M5" i="3"/>
  <c r="M5" i="2"/>
  <c r="M14" i="3" s="1"/>
  <c r="M11" i="3"/>
  <c r="D73" i="17"/>
  <c r="D74" i="17"/>
  <c r="I17" i="3"/>
  <c r="N18" i="1"/>
  <c r="O13" i="1"/>
  <c r="O9" i="3" s="1"/>
  <c r="O12" i="3" s="1"/>
  <c r="N22" i="2"/>
  <c r="N27" i="3"/>
  <c r="N5" i="2"/>
  <c r="N14" i="1"/>
  <c r="N7" i="3"/>
  <c r="N10" i="2"/>
  <c r="N15" i="2"/>
  <c r="O17" i="3" s="1"/>
  <c r="N7" i="1"/>
  <c r="N11" i="3"/>
  <c r="N5" i="3"/>
  <c r="N20" i="2"/>
  <c r="O21" i="3" s="1"/>
  <c r="N3" i="1"/>
  <c r="I27" i="17"/>
  <c r="N4" i="1"/>
  <c r="L15" i="1"/>
  <c r="K42" i="3"/>
  <c r="L36" i="2"/>
  <c r="M35" i="7"/>
  <c r="F47" i="17"/>
  <c r="F37" i="17"/>
  <c r="K28" i="3"/>
  <c r="M21" i="7"/>
  <c r="J15" i="2"/>
  <c r="K17" i="3" s="1"/>
  <c r="J3" i="1"/>
  <c r="J20" i="2"/>
  <c r="J21" i="3" s="1"/>
  <c r="J5" i="2"/>
  <c r="J10" i="2"/>
  <c r="J7" i="1"/>
  <c r="K13" i="1"/>
  <c r="K9" i="3" s="1"/>
  <c r="K12" i="3" s="1"/>
  <c r="J4" i="1"/>
  <c r="J27" i="3"/>
  <c r="J18" i="1"/>
  <c r="J5" i="3"/>
  <c r="J14" i="1"/>
  <c r="J22" i="2"/>
  <c r="J6" i="1"/>
  <c r="J7" i="3"/>
  <c r="J11" i="3"/>
  <c r="E27" i="17"/>
  <c r="J9" i="1"/>
  <c r="F29" i="17"/>
  <c r="L28" i="3"/>
  <c r="L6" i="2"/>
  <c r="L18" i="2"/>
  <c r="L21" i="3"/>
  <c r="J20" i="5"/>
  <c r="L21" i="7"/>
  <c r="L14" i="3"/>
  <c r="J47" i="17"/>
  <c r="J37" i="17"/>
  <c r="J3" i="7"/>
  <c r="I4" i="22" s="1"/>
  <c r="J9" i="4"/>
  <c r="D68" i="17"/>
  <c r="G47" i="17"/>
  <c r="G37" i="17"/>
  <c r="O42" i="3"/>
  <c r="O28" i="3"/>
  <c r="I18" i="2" l="1"/>
  <c r="J8" i="4"/>
  <c r="B8" i="4" s="1"/>
  <c r="D67" i="17"/>
  <c r="L44" i="7"/>
  <c r="I11" i="2"/>
  <c r="J38" i="7" s="1"/>
  <c r="I42" i="3"/>
  <c r="J28" i="2" s="1"/>
  <c r="K6" i="2"/>
  <c r="L15" i="3" s="1"/>
  <c r="K36" i="2"/>
  <c r="I15" i="1"/>
  <c r="J9" i="7" s="1"/>
  <c r="G49" i="17"/>
  <c r="K6" i="1"/>
  <c r="O6" i="1"/>
  <c r="M6" i="1"/>
  <c r="N6" i="1"/>
  <c r="J5" i="5"/>
  <c r="L49" i="7"/>
  <c r="J10" i="4"/>
  <c r="B10" i="4" s="1"/>
  <c r="J14" i="3"/>
  <c r="J21" i="7"/>
  <c r="D69" i="17"/>
  <c r="D70" i="17" s="1"/>
  <c r="D71" i="17" s="1"/>
  <c r="K43" i="1"/>
  <c r="K5" i="22" s="1"/>
  <c r="J35" i="7"/>
  <c r="I19" i="2"/>
  <c r="J19" i="5" s="1"/>
  <c r="K16" i="1"/>
  <c r="K17" i="1" s="1"/>
  <c r="L5" i="7" s="1"/>
  <c r="L4" i="7"/>
  <c r="K44" i="7"/>
  <c r="N44" i="7"/>
  <c r="P44" i="7"/>
  <c r="J17" i="3"/>
  <c r="O44" i="7"/>
  <c r="K3" i="7"/>
  <c r="J4" i="22" s="1"/>
  <c r="J28" i="3"/>
  <c r="L43" i="1"/>
  <c r="M4" i="7"/>
  <c r="L16" i="1"/>
  <c r="M33" i="7" s="1"/>
  <c r="M30" i="7"/>
  <c r="M8" i="7"/>
  <c r="M49" i="7"/>
  <c r="M9" i="7"/>
  <c r="M7" i="7"/>
  <c r="K24" i="2"/>
  <c r="M28" i="3"/>
  <c r="J42" i="3"/>
  <c r="K28" i="2" s="1"/>
  <c r="L28" i="2" s="1"/>
  <c r="M28" i="2" s="1"/>
  <c r="N42" i="3"/>
  <c r="E47" i="17"/>
  <c r="E37" i="17"/>
  <c r="L18" i="3"/>
  <c r="L24" i="2"/>
  <c r="L30" i="7"/>
  <c r="I37" i="17"/>
  <c r="I47" i="17"/>
  <c r="O14" i="3"/>
  <c r="O21" i="7"/>
  <c r="N17" i="3"/>
  <c r="L9" i="7"/>
  <c r="N28" i="3"/>
  <c r="E66" i="17"/>
  <c r="H37" i="17"/>
  <c r="H47" i="17"/>
  <c r="J10" i="1"/>
  <c r="J19" i="2" s="1"/>
  <c r="L35" i="7"/>
  <c r="J8" i="1"/>
  <c r="K21" i="7"/>
  <c r="K14" i="3"/>
  <c r="D39" i="17"/>
  <c r="D49" i="17"/>
  <c r="J43" i="7"/>
  <c r="I43" i="1"/>
  <c r="J15" i="4"/>
  <c r="B15" i="4" s="1"/>
  <c r="I16" i="1"/>
  <c r="J16" i="4" s="1"/>
  <c r="B16" i="4" s="1"/>
  <c r="J8" i="7"/>
  <c r="M44" i="7"/>
  <c r="K21" i="3"/>
  <c r="N21" i="3"/>
  <c r="B9" i="4"/>
  <c r="D28" i="17"/>
  <c r="F49" i="17"/>
  <c r="F39" i="17"/>
  <c r="N21" i="7"/>
  <c r="N14" i="3"/>
  <c r="M42" i="3"/>
  <c r="L8" i="7"/>
  <c r="J18" i="5"/>
  <c r="I18" i="3"/>
  <c r="J11" i="2" l="1"/>
  <c r="K43" i="7" s="1"/>
  <c r="J13" i="7"/>
  <c r="J49" i="7"/>
  <c r="L6" i="7"/>
  <c r="J4" i="7"/>
  <c r="I24" i="2"/>
  <c r="I27" i="2" s="1"/>
  <c r="J27" i="5" s="1"/>
  <c r="J30" i="7"/>
  <c r="L31" i="7"/>
  <c r="D60" i="17" a="1"/>
  <c r="D60" i="17" s="1"/>
  <c r="J7" i="7"/>
  <c r="L41" i="7"/>
  <c r="L50" i="7"/>
  <c r="K6" i="22"/>
  <c r="L32" i="7"/>
  <c r="I19" i="3"/>
  <c r="K19" i="1"/>
  <c r="K22" i="1" s="1"/>
  <c r="K3" i="3"/>
  <c r="K38" i="3" s="1"/>
  <c r="K37" i="3" s="1"/>
  <c r="K44" i="3" s="1"/>
  <c r="L33" i="7"/>
  <c r="J17" i="7"/>
  <c r="J18" i="7" s="1"/>
  <c r="K35" i="7"/>
  <c r="J33" i="7"/>
  <c r="D72" i="17"/>
  <c r="N28" i="2"/>
  <c r="O28" i="2" s="1"/>
  <c r="L5" i="22"/>
  <c r="M6" i="7"/>
  <c r="M50" i="7"/>
  <c r="M22" i="7"/>
  <c r="L27" i="2"/>
  <c r="D38" i="17"/>
  <c r="D48" i="17"/>
  <c r="J19" i="3"/>
  <c r="J36" i="2"/>
  <c r="K19" i="3"/>
  <c r="J6" i="2"/>
  <c r="K15" i="3" s="1"/>
  <c r="J18" i="2"/>
  <c r="E58" i="17"/>
  <c r="E57" i="17"/>
  <c r="E73" i="17"/>
  <c r="E74" i="17"/>
  <c r="E60" i="17"/>
  <c r="E68" i="17"/>
  <c r="E62" i="17"/>
  <c r="F66" i="17"/>
  <c r="L17" i="1"/>
  <c r="M42" i="1"/>
  <c r="O42" i="1"/>
  <c r="N42" i="1"/>
  <c r="L22" i="7"/>
  <c r="K27" i="2"/>
  <c r="K11" i="2"/>
  <c r="K38" i="7"/>
  <c r="J50" i="7"/>
  <c r="J6" i="7"/>
  <c r="I5" i="22"/>
  <c r="E29" i="17"/>
  <c r="E61" i="17" s="1"/>
  <c r="J25" i="5"/>
  <c r="I17" i="1"/>
  <c r="J15" i="1"/>
  <c r="J22" i="7" l="1"/>
  <c r="K23" i="1"/>
  <c r="L11" i="2"/>
  <c r="L38" i="7"/>
  <c r="L43" i="7"/>
  <c r="K4" i="7"/>
  <c r="K9" i="7"/>
  <c r="J43" i="1"/>
  <c r="J16" i="1"/>
  <c r="K33" i="7" s="1"/>
  <c r="K49" i="7"/>
  <c r="K8" i="7"/>
  <c r="K7" i="7"/>
  <c r="K30" i="7"/>
  <c r="I28" i="17"/>
  <c r="N9" i="1"/>
  <c r="J28" i="17"/>
  <c r="O9" i="1"/>
  <c r="J31" i="7"/>
  <c r="J32" i="7"/>
  <c r="J17" i="4"/>
  <c r="B17" i="4" s="1"/>
  <c r="J47" i="7" a="1"/>
  <c r="J47" i="7" s="1"/>
  <c r="J12" i="7"/>
  <c r="J5" i="7"/>
  <c r="I19" i="1"/>
  <c r="I6" i="22"/>
  <c r="I3" i="3"/>
  <c r="J41" i="7"/>
  <c r="E67" i="17"/>
  <c r="E49" i="17"/>
  <c r="E39" i="17"/>
  <c r="B58" i="1"/>
  <c r="H28" i="17"/>
  <c r="M9" i="1"/>
  <c r="L6" i="22"/>
  <c r="M31" i="7"/>
  <c r="M5" i="7"/>
  <c r="M32" i="7"/>
  <c r="L3" i="3"/>
  <c r="L19" i="1"/>
  <c r="M41" i="7"/>
  <c r="J18" i="3"/>
  <c r="J24" i="2"/>
  <c r="K18" i="3"/>
  <c r="K22" i="3" s="1"/>
  <c r="F57" i="17"/>
  <c r="F70" i="17"/>
  <c r="F68" i="17"/>
  <c r="F58" i="17"/>
  <c r="F73" i="17"/>
  <c r="F62" i="17"/>
  <c r="F60" i="17"/>
  <c r="F61" i="17"/>
  <c r="F74" i="17"/>
  <c r="G66" i="17"/>
  <c r="E70" i="17"/>
  <c r="E69" i="17" s="1"/>
  <c r="F69" i="17" l="1"/>
  <c r="I38" i="3"/>
  <c r="I23" i="1"/>
  <c r="J46" i="7" s="1" a="1"/>
  <c r="J46" i="7" s="1"/>
  <c r="I22" i="1"/>
  <c r="J19" i="4"/>
  <c r="B19" i="4" s="1"/>
  <c r="P3" i="7"/>
  <c r="O4" i="22" s="1"/>
  <c r="O8" i="1"/>
  <c r="O10" i="1"/>
  <c r="O15" i="1" s="1"/>
  <c r="F71" i="17"/>
  <c r="F72" i="17" s="1"/>
  <c r="K18" i="22"/>
  <c r="K46" i="3"/>
  <c r="K19" i="22"/>
  <c r="O3" i="7"/>
  <c r="N4" i="22" s="1"/>
  <c r="N8" i="1"/>
  <c r="N10" i="1"/>
  <c r="N19" i="2" s="1"/>
  <c r="G70" i="17"/>
  <c r="G57" i="17"/>
  <c r="G68" i="17"/>
  <c r="G67" i="17" s="1"/>
  <c r="G74" i="17"/>
  <c r="G73" i="17"/>
  <c r="G62" i="17"/>
  <c r="G58" i="17"/>
  <c r="H66" i="17"/>
  <c r="G61" i="17"/>
  <c r="G60" i="17"/>
  <c r="I48" i="17"/>
  <c r="I38" i="17"/>
  <c r="E71" i="17"/>
  <c r="E72" i="17" s="1"/>
  <c r="K22" i="7"/>
  <c r="J27" i="2"/>
  <c r="J17" i="1"/>
  <c r="H48" i="17"/>
  <c r="H38" i="17"/>
  <c r="F67" i="17"/>
  <c r="L22" i="3"/>
  <c r="L38" i="3"/>
  <c r="L37" i="3" s="1"/>
  <c r="L44" i="3" s="1"/>
  <c r="J48" i="17"/>
  <c r="J38" i="17"/>
  <c r="N3" i="7"/>
  <c r="M4" i="22" s="1"/>
  <c r="M10" i="1"/>
  <c r="M19" i="2" s="1"/>
  <c r="M8" i="1"/>
  <c r="K50" i="7"/>
  <c r="J5" i="22"/>
  <c r="K6" i="7"/>
  <c r="L22" i="1"/>
  <c r="L23" i="1"/>
  <c r="M11" i="2"/>
  <c r="M38" i="7"/>
  <c r="M43" i="7"/>
  <c r="P4" i="7" l="1"/>
  <c r="P8" i="7"/>
  <c r="P49" i="7"/>
  <c r="O16" i="1"/>
  <c r="P33" i="7" s="1"/>
  <c r="P9" i="7"/>
  <c r="P7" i="7"/>
  <c r="O43" i="1"/>
  <c r="P30" i="7"/>
  <c r="N19" i="3"/>
  <c r="N36" i="2"/>
  <c r="G71" i="17"/>
  <c r="G72" i="17" s="1"/>
  <c r="B55" i="1"/>
  <c r="O19" i="2"/>
  <c r="O18" i="2"/>
  <c r="B54" i="1"/>
  <c r="O6" i="2"/>
  <c r="P35" i="7"/>
  <c r="I29" i="17"/>
  <c r="H57" i="17"/>
  <c r="H60" i="17"/>
  <c r="H62" i="17"/>
  <c r="H74" i="17"/>
  <c r="H58" i="17"/>
  <c r="H73" i="17"/>
  <c r="I66" i="17"/>
  <c r="H68" i="17"/>
  <c r="H67" i="17" s="1"/>
  <c r="N11" i="2"/>
  <c r="N38" i="7"/>
  <c r="N43" i="7"/>
  <c r="L46" i="3"/>
  <c r="L18" i="22"/>
  <c r="L19" i="22"/>
  <c r="N15" i="1"/>
  <c r="M6" i="2"/>
  <c r="M18" i="2"/>
  <c r="N35" i="7"/>
  <c r="N6" i="2"/>
  <c r="N18" i="2"/>
  <c r="O35" i="7"/>
  <c r="J29" i="17"/>
  <c r="M19" i="3"/>
  <c r="M36" i="2"/>
  <c r="J6" i="22"/>
  <c r="K5" i="7"/>
  <c r="K32" i="7"/>
  <c r="K47" i="7" a="1"/>
  <c r="K47" i="7" s="1"/>
  <c r="K31" i="7"/>
  <c r="J3" i="3"/>
  <c r="J19" i="1"/>
  <c r="K41" i="7"/>
  <c r="G69" i="17"/>
  <c r="I37" i="3"/>
  <c r="I44" i="3" s="1"/>
  <c r="I34" i="2"/>
  <c r="M15" i="1"/>
  <c r="H29" i="17"/>
  <c r="H61" i="17" s="1"/>
  <c r="O15" i="3" l="1"/>
  <c r="O19" i="3"/>
  <c r="O36" i="2"/>
  <c r="M24" i="2"/>
  <c r="M18" i="3"/>
  <c r="N15" i="3"/>
  <c r="M15" i="3"/>
  <c r="N16" i="1"/>
  <c r="O33" i="7" s="1"/>
  <c r="N17" i="1"/>
  <c r="O30" i="7"/>
  <c r="O7" i="7"/>
  <c r="O8" i="7"/>
  <c r="O49" i="7"/>
  <c r="N43" i="1"/>
  <c r="O9" i="7"/>
  <c r="O4" i="7"/>
  <c r="N8" i="7"/>
  <c r="M16" i="1"/>
  <c r="N33" i="7" s="1"/>
  <c r="N30" i="7"/>
  <c r="N9" i="7"/>
  <c r="N7" i="7"/>
  <c r="M43" i="1"/>
  <c r="N49" i="7"/>
  <c r="N4" i="7"/>
  <c r="H39" i="17"/>
  <c r="H49" i="17"/>
  <c r="J49" i="17"/>
  <c r="J39" i="17"/>
  <c r="J38" i="3"/>
  <c r="J37" i="3" s="1"/>
  <c r="J44" i="3" s="1"/>
  <c r="O11" i="2"/>
  <c r="O38" i="7"/>
  <c r="O43" i="7"/>
  <c r="I49" i="17"/>
  <c r="I39" i="17"/>
  <c r="O17" i="1"/>
  <c r="O24" i="2"/>
  <c r="O18" i="3"/>
  <c r="N24" i="2"/>
  <c r="N18" i="3"/>
  <c r="P50" i="7"/>
  <c r="P6" i="7"/>
  <c r="O5" i="22"/>
  <c r="J33" i="5"/>
  <c r="J23" i="1"/>
  <c r="K46" i="7" s="1" a="1"/>
  <c r="K46" i="7" s="1"/>
  <c r="J22" i="1"/>
  <c r="I68" i="17"/>
  <c r="I57" i="17"/>
  <c r="J66" i="17"/>
  <c r="I73" i="17"/>
  <c r="I61" i="17"/>
  <c r="I60" i="17"/>
  <c r="I58" i="17"/>
  <c r="I70" i="17"/>
  <c r="I62" i="17"/>
  <c r="I74" i="17"/>
  <c r="H70" i="17"/>
  <c r="H69" i="17" s="1"/>
  <c r="I69" i="17" l="1"/>
  <c r="I67" i="17"/>
  <c r="P38" i="7"/>
  <c r="P43" i="7"/>
  <c r="N6" i="7"/>
  <c r="N50" i="7"/>
  <c r="M5" i="22"/>
  <c r="N5" i="22"/>
  <c r="O6" i="7"/>
  <c r="O50" i="7"/>
  <c r="H71" i="17"/>
  <c r="H72" i="17" s="1"/>
  <c r="J57" i="17"/>
  <c r="J68" i="17"/>
  <c r="J60" i="17"/>
  <c r="J70" i="17"/>
  <c r="J74" i="17"/>
  <c r="J61" i="17"/>
  <c r="J73" i="17"/>
  <c r="J58" i="17"/>
  <c r="J62" i="17"/>
  <c r="M27" i="2"/>
  <c r="N22" i="7"/>
  <c r="O19" i="1"/>
  <c r="O3" i="3"/>
  <c r="O6" i="22"/>
  <c r="P5" i="7"/>
  <c r="P31" i="7"/>
  <c r="P32" i="7"/>
  <c r="P41" i="7"/>
  <c r="I71" i="17"/>
  <c r="I72" i="17" s="1"/>
  <c r="J34" i="2"/>
  <c r="N3" i="3"/>
  <c r="N19" i="1"/>
  <c r="O32" i="7"/>
  <c r="O31" i="7"/>
  <c r="O5" i="7"/>
  <c r="N6" i="22"/>
  <c r="O41" i="7"/>
  <c r="M17" i="1"/>
  <c r="N27" i="2"/>
  <c r="O22" i="7"/>
  <c r="O27" i="2"/>
  <c r="P22" i="7"/>
  <c r="N22" i="1" l="1"/>
  <c r="N23" i="1"/>
  <c r="J69" i="17"/>
  <c r="O22" i="3"/>
  <c r="O38" i="3"/>
  <c r="O37" i="3" s="1"/>
  <c r="O44" i="3" s="1"/>
  <c r="J67" i="17"/>
  <c r="J71" i="17"/>
  <c r="J72" i="17" s="1"/>
  <c r="N22" i="3"/>
  <c r="N38" i="3"/>
  <c r="N37" i="3" s="1"/>
  <c r="N44" i="3" s="1"/>
  <c r="M19" i="1"/>
  <c r="M3" i="3"/>
  <c r="N32" i="7"/>
  <c r="M6" i="22"/>
  <c r="N5" i="7"/>
  <c r="N31" i="7"/>
  <c r="N41" i="7"/>
  <c r="J35" i="2"/>
  <c r="J37" i="2" s="1"/>
  <c r="K34" i="2"/>
  <c r="O23" i="1"/>
  <c r="O22" i="1"/>
  <c r="N18" i="22" l="1"/>
  <c r="N46" i="3"/>
  <c r="N19" i="22"/>
  <c r="M22" i="1"/>
  <c r="M23" i="1"/>
  <c r="O18" i="22"/>
  <c r="O46" i="3"/>
  <c r="O19" i="22"/>
  <c r="M38" i="3"/>
  <c r="M37" i="3" s="1"/>
  <c r="M44" i="3" s="1"/>
  <c r="M22" i="3"/>
  <c r="K35" i="2"/>
  <c r="K37" i="2" s="1"/>
  <c r="L34" i="2"/>
  <c r="J38" i="2"/>
  <c r="K28" i="7"/>
  <c r="K45" i="7" a="1"/>
  <c r="K45" i="7" s="1"/>
  <c r="K16" i="7"/>
  <c r="K48" i="7"/>
  <c r="K27" i="7"/>
  <c r="J17" i="22" s="1"/>
  <c r="K13" i="7"/>
  <c r="K17" i="7"/>
  <c r="K18" i="7" s="1"/>
  <c r="K12" i="7"/>
  <c r="M18" i="22" l="1"/>
  <c r="M46" i="3"/>
  <c r="M19" i="22"/>
  <c r="M34" i="2"/>
  <c r="L35" i="2"/>
  <c r="L37" i="2" s="1"/>
  <c r="L16" i="7"/>
  <c r="L28" i="7"/>
  <c r="K38" i="2"/>
  <c r="L27" i="7"/>
  <c r="K17" i="22" s="1"/>
  <c r="L48" i="7"/>
  <c r="L13" i="7"/>
  <c r="L12" i="7"/>
  <c r="L17" i="7"/>
  <c r="L18" i="7" s="1"/>
  <c r="M35" i="2" l="1"/>
  <c r="M37" i="2" s="1"/>
  <c r="N34" i="2"/>
  <c r="M16" i="7"/>
  <c r="M28" i="7"/>
  <c r="L38" i="2"/>
  <c r="M27" i="7"/>
  <c r="L17" i="22" s="1"/>
  <c r="M48" i="7"/>
  <c r="M13" i="7"/>
  <c r="M17" i="7"/>
  <c r="M18" i="7" s="1"/>
  <c r="M12" i="7"/>
  <c r="N35" i="2" l="1"/>
  <c r="N37" i="2" s="1"/>
  <c r="O34" i="2"/>
  <c r="O35" i="2" s="1"/>
  <c r="O37" i="2" s="1"/>
  <c r="N16" i="7"/>
  <c r="N28" i="7"/>
  <c r="M38" i="2"/>
  <c r="N27" i="7"/>
  <c r="M17" i="22" s="1"/>
  <c r="N48" i="7"/>
  <c r="N13" i="7"/>
  <c r="N17" i="7"/>
  <c r="N18" i="7" s="1"/>
  <c r="N12" i="7"/>
  <c r="P16" i="7" l="1"/>
  <c r="P28" i="7"/>
  <c r="O38" i="2"/>
  <c r="P48" i="7"/>
  <c r="P27" i="7"/>
  <c r="O17" i="22" s="1"/>
  <c r="P13" i="7"/>
  <c r="P17" i="7"/>
  <c r="P18" i="7" s="1"/>
  <c r="P12" i="7"/>
  <c r="N38" i="2"/>
  <c r="O16" i="7"/>
  <c r="O28" i="7"/>
  <c r="O27" i="7"/>
  <c r="N17" i="22" s="1"/>
  <c r="O48" i="7"/>
  <c r="O13" i="7"/>
  <c r="O17" i="7"/>
  <c r="O18" i="7" s="1"/>
  <c r="O12" i="7"/>
  <c r="D6" i="18" l="1" a="1"/>
  <c r="D6" i="18" s="1"/>
  <c r="B56" i="1" l="1"/>
  <c r="J6" i="5"/>
  <c r="D57" i="17" a="1"/>
  <c r="E59" i="17" s="1"/>
  <c r="J15" i="3"/>
  <c r="J22" i="3" s="1"/>
  <c r="J40" i="7"/>
  <c r="I8" i="22" s="1"/>
  <c r="I15" i="3"/>
  <c r="I22" i="3"/>
  <c r="I18" i="22" s="1"/>
  <c r="I46" i="3" l="1"/>
  <c r="I47" i="3" s="1"/>
  <c r="J18" i="22"/>
  <c r="J46" i="3"/>
  <c r="J19" i="22"/>
  <c r="I4" i="2"/>
  <c r="J45" i="3"/>
  <c r="J47" i="3" s="1"/>
  <c r="E75" i="17"/>
  <c r="F59" i="17"/>
  <c r="I19" i="22"/>
  <c r="D57" i="17"/>
  <c r="D75" i="17" s="1"/>
  <c r="D76" i="17" s="1"/>
  <c r="D77" i="17" s="1"/>
  <c r="D80" i="17" s="1"/>
  <c r="F75" i="17" l="1"/>
  <c r="F76" i="17" s="1"/>
  <c r="F77" i="17" s="1"/>
  <c r="F80" i="17" s="1"/>
  <c r="G59" i="17"/>
  <c r="I12" i="22"/>
  <c r="J34" i="7"/>
  <c r="I8" i="2"/>
  <c r="J4" i="5"/>
  <c r="D86" i="17"/>
  <c r="O7" i="14" s="1"/>
  <c r="K15" i="14" s="1"/>
  <c r="K18" i="14" s="1"/>
  <c r="E76" i="17"/>
  <c r="E77" i="17" s="1"/>
  <c r="E80" i="17" s="1"/>
  <c r="J4" i="2"/>
  <c r="K45" i="3"/>
  <c r="K47" i="3" s="1"/>
  <c r="K4" i="2" l="1"/>
  <c r="L45" i="3"/>
  <c r="L47" i="3" s="1"/>
  <c r="J8" i="2"/>
  <c r="J12" i="22"/>
  <c r="K34" i="7"/>
  <c r="G75" i="17"/>
  <c r="G76" i="17" s="1"/>
  <c r="G77" i="17" s="1"/>
  <c r="G80" i="17" s="1"/>
  <c r="H59" i="17"/>
  <c r="G6" i="13"/>
  <c r="H6" i="13" s="1"/>
  <c r="G5" i="13"/>
  <c r="H5" i="13" s="1"/>
  <c r="D98" i="17"/>
  <c r="J8" i="5"/>
  <c r="J39" i="7"/>
  <c r="I16" i="2"/>
  <c r="J20" i="7"/>
  <c r="I14" i="22" s="1"/>
  <c r="J23" i="7"/>
  <c r="I15" i="22" s="1"/>
  <c r="H75" i="17" l="1"/>
  <c r="H76" i="17" s="1"/>
  <c r="H77" i="17" s="1"/>
  <c r="H80" i="17" s="1"/>
  <c r="I59" i="17"/>
  <c r="J11" i="5"/>
  <c r="I9" i="22"/>
  <c r="J10" i="7"/>
  <c r="J37" i="7"/>
  <c r="J25" i="7"/>
  <c r="J16" i="5"/>
  <c r="J14" i="5"/>
  <c r="J15" i="7"/>
  <c r="J13" i="5"/>
  <c r="J9" i="5"/>
  <c r="J12" i="5"/>
  <c r="J15" i="5"/>
  <c r="J11" i="7"/>
  <c r="J10" i="5"/>
  <c r="J26" i="7"/>
  <c r="I10" i="22"/>
  <c r="I7" i="22"/>
  <c r="I11" i="22" s="1"/>
  <c r="J14" i="7"/>
  <c r="K12" i="22"/>
  <c r="L34" i="7"/>
  <c r="K8" i="2"/>
  <c r="K20" i="7"/>
  <c r="J14" i="22" s="1"/>
  <c r="K39" i="7"/>
  <c r="J16" i="2"/>
  <c r="K23" i="7"/>
  <c r="J15" i="22" s="1"/>
  <c r="M45" i="3"/>
  <c r="M47" i="3" s="1"/>
  <c r="L4" i="2"/>
  <c r="M4" i="2" l="1"/>
  <c r="N45" i="3"/>
  <c r="N47" i="3" s="1"/>
  <c r="K11" i="7"/>
  <c r="K14" i="7"/>
  <c r="J10" i="22"/>
  <c r="K37" i="7"/>
  <c r="K26" i="7"/>
  <c r="K15" i="7"/>
  <c r="J7" i="22"/>
  <c r="J11" i="22" s="1"/>
  <c r="K10" i="7"/>
  <c r="J9" i="22"/>
  <c r="K25" i="7"/>
  <c r="I75" i="17"/>
  <c r="I76" i="17" s="1"/>
  <c r="I77" i="17" s="1"/>
  <c r="I80" i="17" s="1"/>
  <c r="J59" i="17"/>
  <c r="J75" i="17" s="1"/>
  <c r="K16" i="2"/>
  <c r="L23" i="7"/>
  <c r="K15" i="22" s="1"/>
  <c r="L20" i="7"/>
  <c r="K14" i="22" s="1"/>
  <c r="L39" i="7"/>
  <c r="L8" i="2"/>
  <c r="M34" i="7"/>
  <c r="L12" i="22"/>
  <c r="J76" i="17" l="1"/>
  <c r="J77" i="17" s="1"/>
  <c r="J78" i="17" s="1"/>
  <c r="J80" i="17" s="1"/>
  <c r="D82" i="17" s="1"/>
  <c r="D88" i="17" s="1"/>
  <c r="M20" i="7"/>
  <c r="L14" i="22" s="1"/>
  <c r="M39" i="7"/>
  <c r="L16" i="2"/>
  <c r="M23" i="7"/>
  <c r="L15" i="22" s="1"/>
  <c r="K9" i="22"/>
  <c r="K7" i="22"/>
  <c r="K11" i="22" s="1"/>
  <c r="L26" i="7"/>
  <c r="L14" i="7"/>
  <c r="L37" i="7"/>
  <c r="L10" i="7"/>
  <c r="L11" i="7"/>
  <c r="L25" i="7"/>
  <c r="L15" i="7"/>
  <c r="K10" i="22"/>
  <c r="O45" i="3"/>
  <c r="O47" i="3" s="1"/>
  <c r="O4" i="2" s="1"/>
  <c r="N4" i="2"/>
  <c r="N34" i="7"/>
  <c r="M8" i="2"/>
  <c r="M12" i="22"/>
  <c r="G4" i="13" l="1"/>
  <c r="G5" i="17"/>
  <c r="D99" i="17"/>
  <c r="N23" i="7"/>
  <c r="M15" i="22" s="1"/>
  <c r="N39" i="7"/>
  <c r="N20" i="7"/>
  <c r="M14" i="22" s="1"/>
  <c r="M16" i="2"/>
  <c r="O34" i="7"/>
  <c r="N8" i="2"/>
  <c r="N12" i="22"/>
  <c r="O8" i="2"/>
  <c r="O12" i="22"/>
  <c r="P34" i="7"/>
  <c r="L7" i="22"/>
  <c r="L9" i="22"/>
  <c r="M26" i="7"/>
  <c r="M14" i="7"/>
  <c r="M10" i="7"/>
  <c r="L10" i="22"/>
  <c r="M11" i="7"/>
  <c r="M37" i="7"/>
  <c r="M15" i="7"/>
  <c r="M25" i="7"/>
  <c r="P20" i="7" l="1"/>
  <c r="O14" i="22" s="1"/>
  <c r="P39" i="7"/>
  <c r="O16" i="2"/>
  <c r="P23" i="7"/>
  <c r="O15" i="22" s="1"/>
  <c r="N16" i="2"/>
  <c r="O23" i="7"/>
  <c r="N15" i="22" s="1"/>
  <c r="O20" i="7"/>
  <c r="N14" i="22" s="1"/>
  <c r="O39" i="7"/>
  <c r="L11" i="22"/>
  <c r="N25" i="7"/>
  <c r="N15" i="7"/>
  <c r="N37" i="7"/>
  <c r="M10" i="22"/>
  <c r="N10" i="7"/>
  <c r="N14" i="7"/>
  <c r="M9" i="22"/>
  <c r="N26" i="7"/>
  <c r="N11" i="7"/>
  <c r="M7" i="22"/>
  <c r="M11" i="22" s="1"/>
  <c r="C102" i="17"/>
  <c r="C111" i="17"/>
  <c r="H4" i="13"/>
  <c r="O46" i="7" a="1"/>
  <c r="O46" i="7" s="1"/>
  <c r="M45" i="7" a="1"/>
  <c r="M45" i="7" s="1"/>
  <c r="L47" i="7" a="1"/>
  <c r="L47" i="7" s="1"/>
  <c r="L45" i="7" a="1"/>
  <c r="L45" i="7" s="1"/>
  <c r="N47" i="7" a="1"/>
  <c r="N47" i="7" s="1"/>
  <c r="L46" i="7" a="1"/>
  <c r="L46" i="7" s="1"/>
  <c r="P47" i="7" a="1"/>
  <c r="P47" i="7" s="1"/>
  <c r="M46" i="7" a="1"/>
  <c r="M46" i="7" s="1"/>
  <c r="P46" i="7" a="1"/>
  <c r="P46" i="7" s="1"/>
  <c r="P45" i="7" a="1"/>
  <c r="P45" i="7" s="1"/>
  <c r="N45" i="7" a="1"/>
  <c r="N45" i="7" s="1"/>
  <c r="O47" i="7" a="1"/>
  <c r="O47" i="7" s="1"/>
  <c r="O45" i="7" a="1"/>
  <c r="O45" i="7" s="1"/>
  <c r="M47" i="7" a="1"/>
  <c r="M47" i="7" s="1"/>
  <c r="N46" i="7" a="1"/>
  <c r="N46" i="7" s="1"/>
  <c r="N10" i="22" l="1"/>
  <c r="O15" i="7"/>
  <c r="O37" i="7"/>
  <c r="N9" i="22"/>
  <c r="O11" i="7"/>
  <c r="O25" i="7"/>
  <c r="O26" i="7"/>
  <c r="O14" i="7"/>
  <c r="O10" i="7"/>
  <c r="N7" i="22"/>
  <c r="N11" i="22" s="1"/>
  <c r="P14" i="7"/>
  <c r="O10" i="22"/>
  <c r="P15" i="7"/>
  <c r="P37" i="7"/>
  <c r="P10" i="7"/>
  <c r="O7" i="22"/>
  <c r="P11" i="7"/>
  <c r="P26" i="7"/>
  <c r="O9" i="22"/>
  <c r="P25" i="7"/>
  <c r="O11"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tc={7FA8A03C-659B-47CF-A483-718ECE4638CE}</author>
    <author>tc={CCBBE291-8ECC-4BAE-A89D-A984102300AF}</author>
    <author>tc={5D7F582B-6B5A-4A02-B184-F4AEBE5099CE}</author>
    <author>tc={13745061-869A-4007-A722-BA01D9A7F4F8}</author>
    <author>tc={10771170-AF2F-436D-BF27-F4C8761AC611}</author>
    <author>tc={F0C92CA8-C6A8-45C4-8F86-10D9A2BDFFE4}</author>
    <author>tc={E53AA24F-DE8D-4FE5-B4F7-D6A7986EC78A}</author>
  </authors>
  <commentList>
    <comment ref="B3" authorId="0" shapeId="0" xr:uid="{7FA8A03C-659B-47CF-A483-718ECE4638CE}">
      <text>
        <t>[Threaded comment]
Your version of Excel allows you to read this threaded comment; however, any edits to it will get removed if the file is opened in a newer version of Excel. Learn more: https://go.microsoft.com/fwlink/?linkid=870924
Comment:
    Averages actual years only (2018A-2024A). 'Inc. Stmt'!J6 derives 2025E residential revenue from this cell, so including 2025E here would create a circular reference.</t>
      </text>
    </comment>
    <comment ref="B4" authorId="1" shapeId="0" xr:uid="{CCBBE291-8ECC-4BAE-A89D-A984102300AF}">
      <text>
        <t>[Threaded comment]
Your version of Excel allows you to read this threaded comment; however, any edits to it will get removed if the file is opened in a newer version of Excel. Learn more: https://go.microsoft.com/fwlink/?linkid=870924
Comment:
    Averages actual years only (2018A-2024A). 'Inc. Stmt'!J9 derives 2025E other revenue from this cell, so including 2025E here would create a circular reference.</t>
      </text>
    </comment>
    <comment ref="B6" authorId="2" shapeId="0" xr:uid="{5D7F582B-6B5A-4A02-B184-F4AEBE5099CE}">
      <text>
        <t>[Threaded comment]
Your version of Excel allows you to read this threaded comment; however, any edits to it will get removed if the file is opened in a newer version of Excel. Learn more: https://go.microsoft.com/fwlink/?linkid=870924
Comment:
    Drives residential cost of revenue for 2027E-2031E on Inc. Stmt (row 7).</t>
      </text>
    </comment>
    <comment ref="B7" authorId="3" shapeId="0" xr:uid="{13745061-869A-4007-A722-BA01D9A7F4F8}">
      <text>
        <t>[Threaded comment]
Your version of Excel allows you to read this threaded comment; however, any edits to it will get removed if the file is opened in a newer version of Excel. Learn more: https://go.microsoft.com/fwlink/?linkid=870924
Comment:
    Averages actual years only (2018A-2024A). 'Inc. Stmt'!J10 derives 2025E other cost of revenue from this cell, so including 2025E here would create a circular reference.</t>
      </text>
    </comment>
    <comment ref="B9" authorId="4" shapeId="0" xr:uid="{10771170-AF2F-436D-BF27-F4C8761AC611}">
      <text>
        <t>[Threaded comment]
Your version of Excel allows you to read this threaded comment; however, any edits to it will get removed if the file is opened in a newer version of Excel. Learn more: https://go.microsoft.com/fwlink/?linkid=870924
Comment:
    Drives gross margin assumptions for 2029E-2031E on Inc. Stmt (C53:E53), which feed the DCF.</t>
      </text>
    </comment>
    <comment ref="J9" authorId="5" shapeId="0" xr:uid="{F0C92CA8-C6A8-45C4-8F86-10D9A2BDFFE4}">
      <text>
        <t>[Threaded comment]
Your version of Excel allows you to read this threaded comment; however, any edits to it will get removed if the file is opened in a newer version of Excel. Learn more: https://go.microsoft.com/fwlink/?linkid=870924
Comment:
    Drives DCF!D28 (Gross Margin assumption).</t>
      </text>
    </comment>
    <comment ref="I13" authorId="6" shapeId="0" xr:uid="{E53AA24F-DE8D-4FE5-B4F7-D6A7986EC78A}">
      <text>
        <t>[Threaded comment]
Your version of Excel allows you to read this threaded comment; however, any edits to it will get removed if the file is opened in a newer version of Excel. Learn more: https://go.microsoft.com/fwlink/?linkid=870924
Comment:
    Equity method income held flat at the 2024A ratio across the forecast. Referenced by Inc. Stmt row 17 for 2025E-2031E.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Gavin Rinehardt</author>
  </authors>
  <commentList>
    <comment ref="J22" authorId="0" shapeId="0" xr:uid="{8479A278-9582-4CE7-B2F6-6AAD3F7ED713}">
      <text>
        <r>
          <rPr>
            <b/>
            <sz val="9"/>
            <color indexed="81"/>
            <rFont val="Tahoma"/>
            <family val="2"/>
          </rPr>
          <t>Gavin Rinehardt:</t>
        </r>
        <r>
          <rPr>
            <sz val="9"/>
            <color indexed="81"/>
            <rFont val="Tahoma"/>
            <family val="2"/>
          </rPr>
          <t xml:space="preserve">
Green Brick Partners, Inc. Form 10-Q for the quarter ended March 31, 2024: weighted average common shares used for basic EPS, in thousands.</t>
        </r>
      </text>
    </comment>
    <comment ref="N22" authorId="0" shapeId="0" xr:uid="{4AEDFF37-E47D-42FA-8CB4-F3A372D7CC1F}">
      <text>
        <r>
          <rPr>
            <b/>
            <sz val="9"/>
            <color indexed="81"/>
            <rFont val="Tahoma"/>
            <family val="2"/>
          </rPr>
          <t>Gavin Rinehardt:</t>
        </r>
        <r>
          <rPr>
            <sz val="9"/>
            <color indexed="81"/>
            <rFont val="Tahoma"/>
            <family val="2"/>
          </rPr>
          <t xml:space="preserve">
Green Brick Partners, Inc. Form 10-Q for the quarter ended March 31, 2025: weighted average common shares used for basic EPS, in thousands.</t>
        </r>
      </text>
    </comment>
    <comment ref="J23" authorId="0" shapeId="0" xr:uid="{D2EA4CDB-285E-4BF7-8787-7A23059B8634}">
      <text>
        <r>
          <rPr>
            <b/>
            <sz val="9"/>
            <color indexed="81"/>
            <rFont val="Tahoma"/>
            <family val="2"/>
          </rPr>
          <t>Gavin Rinehardt:</t>
        </r>
        <r>
          <rPr>
            <sz val="9"/>
            <color indexed="81"/>
            <rFont val="Tahoma"/>
            <family val="2"/>
          </rPr>
          <t xml:space="preserve">
Green Brick Partners, Inc. Form 10-Q for the quarter ended March 31, 2024: weighted average common shares used for diluted EPS, in thousands.</t>
        </r>
      </text>
    </comment>
    <comment ref="N23" authorId="0" shapeId="0" xr:uid="{75104712-7C15-48D3-B79C-00646F17C1EC}">
      <text>
        <r>
          <rPr>
            <b/>
            <sz val="9"/>
            <color indexed="81"/>
            <rFont val="Tahoma"/>
            <family val="2"/>
          </rPr>
          <t>Gavin Rinehardt:</t>
        </r>
        <r>
          <rPr>
            <sz val="9"/>
            <color indexed="81"/>
            <rFont val="Tahoma"/>
            <family val="2"/>
          </rPr>
          <t xml:space="preserve">
Green Brick Partners, Inc. Form 10-Q for the quarter ended March 31, 2025: weighted average common shares used for diluted EPS, in thousands.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Gavin Rinehardt</author>
  </authors>
  <commentList>
    <comment ref="C102" authorId="0" shapeId="0" xr:uid="{16B5B3B0-0093-4829-B4D1-AC2A7BA181FB}">
      <text>
        <r>
          <rPr>
            <b/>
            <sz val="9"/>
            <color indexed="81"/>
            <rFont val="Tahoma"/>
            <family val="2"/>
          </rPr>
          <t>Top-left output link for the two-variable data table.</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783">
    <bk>
      <extLst>
        <ext uri="{3e2802c4-a4d2-4d8b-9148-e3be6c30e623}">
          <xlrd:rvb i="2"/>
        </ext>
      </extLst>
    </bk>
    <bk>
      <extLst>
        <ext uri="{3e2802c4-a4d2-4d8b-9148-e3be6c30e623}">
          <xlrd:rvb i="9"/>
        </ext>
      </extLst>
    </bk>
    <bk>
      <extLst>
        <ext uri="{3e2802c4-a4d2-4d8b-9148-e3be6c30e623}">
          <xlrd:rvb i="12"/>
        </ext>
      </extLst>
    </bk>
    <bk>
      <extLst>
        <ext uri="{3e2802c4-a4d2-4d8b-9148-e3be6c30e623}">
          <xlrd:rvb i="15"/>
        </ext>
      </extLst>
    </bk>
    <bk>
      <extLst>
        <ext uri="{3e2802c4-a4d2-4d8b-9148-e3be6c30e623}">
          <xlrd:rvb i="18"/>
        </ext>
      </extLst>
    </bk>
    <bk>
      <extLst>
        <ext uri="{3e2802c4-a4d2-4d8b-9148-e3be6c30e623}">
          <xlrd:rvb i="21"/>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bk>
      <extLst>
        <ext uri="{3e2802c4-a4d2-4d8b-9148-e3be6c30e623}">
          <xlrd:rvb i="114"/>
        </ext>
      </extLst>
    </bk>
    <bk>
      <extLst>
        <ext uri="{3e2802c4-a4d2-4d8b-9148-e3be6c30e623}">
          <xlrd:rvb i="115"/>
        </ext>
      </extLst>
    </bk>
    <bk>
      <extLst>
        <ext uri="{3e2802c4-a4d2-4d8b-9148-e3be6c30e623}">
          <xlrd:rvb i="116"/>
        </ext>
      </extLst>
    </bk>
    <bk>
      <extLst>
        <ext uri="{3e2802c4-a4d2-4d8b-9148-e3be6c30e623}">
          <xlrd:rvb i="117"/>
        </ext>
      </extLst>
    </bk>
    <bk>
      <extLst>
        <ext uri="{3e2802c4-a4d2-4d8b-9148-e3be6c30e623}">
          <xlrd:rvb i="118"/>
        </ext>
      </extLst>
    </bk>
    <bk>
      <extLst>
        <ext uri="{3e2802c4-a4d2-4d8b-9148-e3be6c30e623}">
          <xlrd:rvb i="119"/>
        </ext>
      </extLst>
    </bk>
    <bk>
      <extLst>
        <ext uri="{3e2802c4-a4d2-4d8b-9148-e3be6c30e623}">
          <xlrd:rvb i="120"/>
        </ext>
      </extLst>
    </bk>
    <bk>
      <extLst>
        <ext uri="{3e2802c4-a4d2-4d8b-9148-e3be6c30e623}">
          <xlrd:rvb i="121"/>
        </ext>
      </extLst>
    </bk>
    <bk>
      <extLst>
        <ext uri="{3e2802c4-a4d2-4d8b-9148-e3be6c30e623}">
          <xlrd:rvb i="122"/>
        </ext>
      </extLst>
    </bk>
    <bk>
      <extLst>
        <ext uri="{3e2802c4-a4d2-4d8b-9148-e3be6c30e623}">
          <xlrd:rvb i="123"/>
        </ext>
      </extLst>
    </bk>
    <bk>
      <extLst>
        <ext uri="{3e2802c4-a4d2-4d8b-9148-e3be6c30e623}">
          <xlrd:rvb i="124"/>
        </ext>
      </extLst>
    </bk>
    <bk>
      <extLst>
        <ext uri="{3e2802c4-a4d2-4d8b-9148-e3be6c30e623}">
          <xlrd:rvb i="125"/>
        </ext>
      </extLst>
    </bk>
    <bk>
      <extLst>
        <ext uri="{3e2802c4-a4d2-4d8b-9148-e3be6c30e623}">
          <xlrd:rvb i="126"/>
        </ext>
      </extLst>
    </bk>
    <bk>
      <extLst>
        <ext uri="{3e2802c4-a4d2-4d8b-9148-e3be6c30e623}">
          <xlrd:rvb i="127"/>
        </ext>
      </extLst>
    </bk>
    <bk>
      <extLst>
        <ext uri="{3e2802c4-a4d2-4d8b-9148-e3be6c30e623}">
          <xlrd:rvb i="128"/>
        </ext>
      </extLst>
    </bk>
    <bk>
      <extLst>
        <ext uri="{3e2802c4-a4d2-4d8b-9148-e3be6c30e623}">
          <xlrd:rvb i="129"/>
        </ext>
      </extLst>
    </bk>
    <bk>
      <extLst>
        <ext uri="{3e2802c4-a4d2-4d8b-9148-e3be6c30e623}">
          <xlrd:rvb i="130"/>
        </ext>
      </extLst>
    </bk>
    <bk>
      <extLst>
        <ext uri="{3e2802c4-a4d2-4d8b-9148-e3be6c30e623}">
          <xlrd:rvb i="131"/>
        </ext>
      </extLst>
    </bk>
    <bk>
      <extLst>
        <ext uri="{3e2802c4-a4d2-4d8b-9148-e3be6c30e623}">
          <xlrd:rvb i="132"/>
        </ext>
      </extLst>
    </bk>
    <bk>
      <extLst>
        <ext uri="{3e2802c4-a4d2-4d8b-9148-e3be6c30e623}">
          <xlrd:rvb i="133"/>
        </ext>
      </extLst>
    </bk>
    <bk>
      <extLst>
        <ext uri="{3e2802c4-a4d2-4d8b-9148-e3be6c30e623}">
          <xlrd:rvb i="134"/>
        </ext>
      </extLst>
    </bk>
    <bk>
      <extLst>
        <ext uri="{3e2802c4-a4d2-4d8b-9148-e3be6c30e623}">
          <xlrd:rvb i="135"/>
        </ext>
      </extLst>
    </bk>
    <bk>
      <extLst>
        <ext uri="{3e2802c4-a4d2-4d8b-9148-e3be6c30e623}">
          <xlrd:rvb i="136"/>
        </ext>
      </extLst>
    </bk>
    <bk>
      <extLst>
        <ext uri="{3e2802c4-a4d2-4d8b-9148-e3be6c30e623}">
          <xlrd:rvb i="137"/>
        </ext>
      </extLst>
    </bk>
    <bk>
      <extLst>
        <ext uri="{3e2802c4-a4d2-4d8b-9148-e3be6c30e623}">
          <xlrd:rvb i="138"/>
        </ext>
      </extLst>
    </bk>
    <bk>
      <extLst>
        <ext uri="{3e2802c4-a4d2-4d8b-9148-e3be6c30e623}">
          <xlrd:rvb i="139"/>
        </ext>
      </extLst>
    </bk>
    <bk>
      <extLst>
        <ext uri="{3e2802c4-a4d2-4d8b-9148-e3be6c30e623}">
          <xlrd:rvb i="140"/>
        </ext>
      </extLst>
    </bk>
    <bk>
      <extLst>
        <ext uri="{3e2802c4-a4d2-4d8b-9148-e3be6c30e623}">
          <xlrd:rvb i="141"/>
        </ext>
      </extLst>
    </bk>
    <bk>
      <extLst>
        <ext uri="{3e2802c4-a4d2-4d8b-9148-e3be6c30e623}">
          <xlrd:rvb i="142"/>
        </ext>
      </extLst>
    </bk>
    <bk>
      <extLst>
        <ext uri="{3e2802c4-a4d2-4d8b-9148-e3be6c30e623}">
          <xlrd:rvb i="143"/>
        </ext>
      </extLst>
    </bk>
    <bk>
      <extLst>
        <ext uri="{3e2802c4-a4d2-4d8b-9148-e3be6c30e623}">
          <xlrd:rvb i="144"/>
        </ext>
      </extLst>
    </bk>
    <bk>
      <extLst>
        <ext uri="{3e2802c4-a4d2-4d8b-9148-e3be6c30e623}">
          <xlrd:rvb i="145"/>
        </ext>
      </extLst>
    </bk>
    <bk>
      <extLst>
        <ext uri="{3e2802c4-a4d2-4d8b-9148-e3be6c30e623}">
          <xlrd:rvb i="146"/>
        </ext>
      </extLst>
    </bk>
    <bk>
      <extLst>
        <ext uri="{3e2802c4-a4d2-4d8b-9148-e3be6c30e623}">
          <xlrd:rvb i="147"/>
        </ext>
      </extLst>
    </bk>
    <bk>
      <extLst>
        <ext uri="{3e2802c4-a4d2-4d8b-9148-e3be6c30e623}">
          <xlrd:rvb i="148"/>
        </ext>
      </extLst>
    </bk>
    <bk>
      <extLst>
        <ext uri="{3e2802c4-a4d2-4d8b-9148-e3be6c30e623}">
          <xlrd:rvb i="149"/>
        </ext>
      </extLst>
    </bk>
    <bk>
      <extLst>
        <ext uri="{3e2802c4-a4d2-4d8b-9148-e3be6c30e623}">
          <xlrd:rvb i="150"/>
        </ext>
      </extLst>
    </bk>
    <bk>
      <extLst>
        <ext uri="{3e2802c4-a4d2-4d8b-9148-e3be6c30e623}">
          <xlrd:rvb i="151"/>
        </ext>
      </extLst>
    </bk>
    <bk>
      <extLst>
        <ext uri="{3e2802c4-a4d2-4d8b-9148-e3be6c30e623}">
          <xlrd:rvb i="152"/>
        </ext>
      </extLst>
    </bk>
    <bk>
      <extLst>
        <ext uri="{3e2802c4-a4d2-4d8b-9148-e3be6c30e623}">
          <xlrd:rvb i="153"/>
        </ext>
      </extLst>
    </bk>
    <bk>
      <extLst>
        <ext uri="{3e2802c4-a4d2-4d8b-9148-e3be6c30e623}">
          <xlrd:rvb i="154"/>
        </ext>
      </extLst>
    </bk>
    <bk>
      <extLst>
        <ext uri="{3e2802c4-a4d2-4d8b-9148-e3be6c30e623}">
          <xlrd:rvb i="155"/>
        </ext>
      </extLst>
    </bk>
    <bk>
      <extLst>
        <ext uri="{3e2802c4-a4d2-4d8b-9148-e3be6c30e623}">
          <xlrd:rvb i="156"/>
        </ext>
      </extLst>
    </bk>
    <bk>
      <extLst>
        <ext uri="{3e2802c4-a4d2-4d8b-9148-e3be6c30e623}">
          <xlrd:rvb i="157"/>
        </ext>
      </extLst>
    </bk>
    <bk>
      <extLst>
        <ext uri="{3e2802c4-a4d2-4d8b-9148-e3be6c30e623}">
          <xlrd:rvb i="158"/>
        </ext>
      </extLst>
    </bk>
    <bk>
      <extLst>
        <ext uri="{3e2802c4-a4d2-4d8b-9148-e3be6c30e623}">
          <xlrd:rvb i="159"/>
        </ext>
      </extLst>
    </bk>
    <bk>
      <extLst>
        <ext uri="{3e2802c4-a4d2-4d8b-9148-e3be6c30e623}">
          <xlrd:rvb i="160"/>
        </ext>
      </extLst>
    </bk>
    <bk>
      <extLst>
        <ext uri="{3e2802c4-a4d2-4d8b-9148-e3be6c30e623}">
          <xlrd:rvb i="161"/>
        </ext>
      </extLst>
    </bk>
    <bk>
      <extLst>
        <ext uri="{3e2802c4-a4d2-4d8b-9148-e3be6c30e623}">
          <xlrd:rvb i="162"/>
        </ext>
      </extLst>
    </bk>
    <bk>
      <extLst>
        <ext uri="{3e2802c4-a4d2-4d8b-9148-e3be6c30e623}">
          <xlrd:rvb i="163"/>
        </ext>
      </extLst>
    </bk>
    <bk>
      <extLst>
        <ext uri="{3e2802c4-a4d2-4d8b-9148-e3be6c30e623}">
          <xlrd:rvb i="164"/>
        </ext>
      </extLst>
    </bk>
    <bk>
      <extLst>
        <ext uri="{3e2802c4-a4d2-4d8b-9148-e3be6c30e623}">
          <xlrd:rvb i="165"/>
        </ext>
      </extLst>
    </bk>
    <bk>
      <extLst>
        <ext uri="{3e2802c4-a4d2-4d8b-9148-e3be6c30e623}">
          <xlrd:rvb i="166"/>
        </ext>
      </extLst>
    </bk>
    <bk>
      <extLst>
        <ext uri="{3e2802c4-a4d2-4d8b-9148-e3be6c30e623}">
          <xlrd:rvb i="167"/>
        </ext>
      </extLst>
    </bk>
    <bk>
      <extLst>
        <ext uri="{3e2802c4-a4d2-4d8b-9148-e3be6c30e623}">
          <xlrd:rvb i="168"/>
        </ext>
      </extLst>
    </bk>
    <bk>
      <extLst>
        <ext uri="{3e2802c4-a4d2-4d8b-9148-e3be6c30e623}">
          <xlrd:rvb i="169"/>
        </ext>
      </extLst>
    </bk>
    <bk>
      <extLst>
        <ext uri="{3e2802c4-a4d2-4d8b-9148-e3be6c30e623}">
          <xlrd:rvb i="170"/>
        </ext>
      </extLst>
    </bk>
    <bk>
      <extLst>
        <ext uri="{3e2802c4-a4d2-4d8b-9148-e3be6c30e623}">
          <xlrd:rvb i="171"/>
        </ext>
      </extLst>
    </bk>
    <bk>
      <extLst>
        <ext uri="{3e2802c4-a4d2-4d8b-9148-e3be6c30e623}">
          <xlrd:rvb i="172"/>
        </ext>
      </extLst>
    </bk>
    <bk>
      <extLst>
        <ext uri="{3e2802c4-a4d2-4d8b-9148-e3be6c30e623}">
          <xlrd:rvb i="173"/>
        </ext>
      </extLst>
    </bk>
    <bk>
      <extLst>
        <ext uri="{3e2802c4-a4d2-4d8b-9148-e3be6c30e623}">
          <xlrd:rvb i="174"/>
        </ext>
      </extLst>
    </bk>
    <bk>
      <extLst>
        <ext uri="{3e2802c4-a4d2-4d8b-9148-e3be6c30e623}">
          <xlrd:rvb i="175"/>
        </ext>
      </extLst>
    </bk>
    <bk>
      <extLst>
        <ext uri="{3e2802c4-a4d2-4d8b-9148-e3be6c30e623}">
          <xlrd:rvb i="176"/>
        </ext>
      </extLst>
    </bk>
    <bk>
      <extLst>
        <ext uri="{3e2802c4-a4d2-4d8b-9148-e3be6c30e623}">
          <xlrd:rvb i="177"/>
        </ext>
      </extLst>
    </bk>
    <bk>
      <extLst>
        <ext uri="{3e2802c4-a4d2-4d8b-9148-e3be6c30e623}">
          <xlrd:rvb i="178"/>
        </ext>
      </extLst>
    </bk>
    <bk>
      <extLst>
        <ext uri="{3e2802c4-a4d2-4d8b-9148-e3be6c30e623}">
          <xlrd:rvb i="179"/>
        </ext>
      </extLst>
    </bk>
    <bk>
      <extLst>
        <ext uri="{3e2802c4-a4d2-4d8b-9148-e3be6c30e623}">
          <xlrd:rvb i="180"/>
        </ext>
      </extLst>
    </bk>
    <bk>
      <extLst>
        <ext uri="{3e2802c4-a4d2-4d8b-9148-e3be6c30e623}">
          <xlrd:rvb i="181"/>
        </ext>
      </extLst>
    </bk>
    <bk>
      <extLst>
        <ext uri="{3e2802c4-a4d2-4d8b-9148-e3be6c30e623}">
          <xlrd:rvb i="182"/>
        </ext>
      </extLst>
    </bk>
    <bk>
      <extLst>
        <ext uri="{3e2802c4-a4d2-4d8b-9148-e3be6c30e623}">
          <xlrd:rvb i="183"/>
        </ext>
      </extLst>
    </bk>
    <bk>
      <extLst>
        <ext uri="{3e2802c4-a4d2-4d8b-9148-e3be6c30e623}">
          <xlrd:rvb i="184"/>
        </ext>
      </extLst>
    </bk>
    <bk>
      <extLst>
        <ext uri="{3e2802c4-a4d2-4d8b-9148-e3be6c30e623}">
          <xlrd:rvb i="185"/>
        </ext>
      </extLst>
    </bk>
    <bk>
      <extLst>
        <ext uri="{3e2802c4-a4d2-4d8b-9148-e3be6c30e623}">
          <xlrd:rvb i="186"/>
        </ext>
      </extLst>
    </bk>
    <bk>
      <extLst>
        <ext uri="{3e2802c4-a4d2-4d8b-9148-e3be6c30e623}">
          <xlrd:rvb i="187"/>
        </ext>
      </extLst>
    </bk>
    <bk>
      <extLst>
        <ext uri="{3e2802c4-a4d2-4d8b-9148-e3be6c30e623}">
          <xlrd:rvb i="188"/>
        </ext>
      </extLst>
    </bk>
    <bk>
      <extLst>
        <ext uri="{3e2802c4-a4d2-4d8b-9148-e3be6c30e623}">
          <xlrd:rvb i="189"/>
        </ext>
      </extLst>
    </bk>
    <bk>
      <extLst>
        <ext uri="{3e2802c4-a4d2-4d8b-9148-e3be6c30e623}">
          <xlrd:rvb i="190"/>
        </ext>
      </extLst>
    </bk>
    <bk>
      <extLst>
        <ext uri="{3e2802c4-a4d2-4d8b-9148-e3be6c30e623}">
          <xlrd:rvb i="191"/>
        </ext>
      </extLst>
    </bk>
    <bk>
      <extLst>
        <ext uri="{3e2802c4-a4d2-4d8b-9148-e3be6c30e623}">
          <xlrd:rvb i="192"/>
        </ext>
      </extLst>
    </bk>
    <bk>
      <extLst>
        <ext uri="{3e2802c4-a4d2-4d8b-9148-e3be6c30e623}">
          <xlrd:rvb i="193"/>
        </ext>
      </extLst>
    </bk>
    <bk>
      <extLst>
        <ext uri="{3e2802c4-a4d2-4d8b-9148-e3be6c30e623}">
          <xlrd:rvb i="194"/>
        </ext>
      </extLst>
    </bk>
    <bk>
      <extLst>
        <ext uri="{3e2802c4-a4d2-4d8b-9148-e3be6c30e623}">
          <xlrd:rvb i="195"/>
        </ext>
      </extLst>
    </bk>
    <bk>
      <extLst>
        <ext uri="{3e2802c4-a4d2-4d8b-9148-e3be6c30e623}">
          <xlrd:rvb i="196"/>
        </ext>
      </extLst>
    </bk>
    <bk>
      <extLst>
        <ext uri="{3e2802c4-a4d2-4d8b-9148-e3be6c30e623}">
          <xlrd:rvb i="197"/>
        </ext>
      </extLst>
    </bk>
    <bk>
      <extLst>
        <ext uri="{3e2802c4-a4d2-4d8b-9148-e3be6c30e623}">
          <xlrd:rvb i="198"/>
        </ext>
      </extLst>
    </bk>
    <bk>
      <extLst>
        <ext uri="{3e2802c4-a4d2-4d8b-9148-e3be6c30e623}">
          <xlrd:rvb i="199"/>
        </ext>
      </extLst>
    </bk>
    <bk>
      <extLst>
        <ext uri="{3e2802c4-a4d2-4d8b-9148-e3be6c30e623}">
          <xlrd:rvb i="200"/>
        </ext>
      </extLst>
    </bk>
    <bk>
      <extLst>
        <ext uri="{3e2802c4-a4d2-4d8b-9148-e3be6c30e623}">
          <xlrd:rvb i="201"/>
        </ext>
      </extLst>
    </bk>
    <bk>
      <extLst>
        <ext uri="{3e2802c4-a4d2-4d8b-9148-e3be6c30e623}">
          <xlrd:rvb i="202"/>
        </ext>
      </extLst>
    </bk>
    <bk>
      <extLst>
        <ext uri="{3e2802c4-a4d2-4d8b-9148-e3be6c30e623}">
          <xlrd:rvb i="203"/>
        </ext>
      </extLst>
    </bk>
    <bk>
      <extLst>
        <ext uri="{3e2802c4-a4d2-4d8b-9148-e3be6c30e623}">
          <xlrd:rvb i="204"/>
        </ext>
      </extLst>
    </bk>
    <bk>
      <extLst>
        <ext uri="{3e2802c4-a4d2-4d8b-9148-e3be6c30e623}">
          <xlrd:rvb i="205"/>
        </ext>
      </extLst>
    </bk>
    <bk>
      <extLst>
        <ext uri="{3e2802c4-a4d2-4d8b-9148-e3be6c30e623}">
          <xlrd:rvb i="206"/>
        </ext>
      </extLst>
    </bk>
    <bk>
      <extLst>
        <ext uri="{3e2802c4-a4d2-4d8b-9148-e3be6c30e623}">
          <xlrd:rvb i="207"/>
        </ext>
      </extLst>
    </bk>
    <bk>
      <extLst>
        <ext uri="{3e2802c4-a4d2-4d8b-9148-e3be6c30e623}">
          <xlrd:rvb i="208"/>
        </ext>
      </extLst>
    </bk>
    <bk>
      <extLst>
        <ext uri="{3e2802c4-a4d2-4d8b-9148-e3be6c30e623}">
          <xlrd:rvb i="209"/>
        </ext>
      </extLst>
    </bk>
    <bk>
      <extLst>
        <ext uri="{3e2802c4-a4d2-4d8b-9148-e3be6c30e623}">
          <xlrd:rvb i="210"/>
        </ext>
      </extLst>
    </bk>
    <bk>
      <extLst>
        <ext uri="{3e2802c4-a4d2-4d8b-9148-e3be6c30e623}">
          <xlrd:rvb i="211"/>
        </ext>
      </extLst>
    </bk>
    <bk>
      <extLst>
        <ext uri="{3e2802c4-a4d2-4d8b-9148-e3be6c30e623}">
          <xlrd:rvb i="212"/>
        </ext>
      </extLst>
    </bk>
    <bk>
      <extLst>
        <ext uri="{3e2802c4-a4d2-4d8b-9148-e3be6c30e623}">
          <xlrd:rvb i="213"/>
        </ext>
      </extLst>
    </bk>
    <bk>
      <extLst>
        <ext uri="{3e2802c4-a4d2-4d8b-9148-e3be6c30e623}">
          <xlrd:rvb i="214"/>
        </ext>
      </extLst>
    </bk>
    <bk>
      <extLst>
        <ext uri="{3e2802c4-a4d2-4d8b-9148-e3be6c30e623}">
          <xlrd:rvb i="215"/>
        </ext>
      </extLst>
    </bk>
    <bk>
      <extLst>
        <ext uri="{3e2802c4-a4d2-4d8b-9148-e3be6c30e623}">
          <xlrd:rvb i="216"/>
        </ext>
      </extLst>
    </bk>
    <bk>
      <extLst>
        <ext uri="{3e2802c4-a4d2-4d8b-9148-e3be6c30e623}">
          <xlrd:rvb i="217"/>
        </ext>
      </extLst>
    </bk>
    <bk>
      <extLst>
        <ext uri="{3e2802c4-a4d2-4d8b-9148-e3be6c30e623}">
          <xlrd:rvb i="218"/>
        </ext>
      </extLst>
    </bk>
    <bk>
      <extLst>
        <ext uri="{3e2802c4-a4d2-4d8b-9148-e3be6c30e623}">
          <xlrd:rvb i="219"/>
        </ext>
      </extLst>
    </bk>
    <bk>
      <extLst>
        <ext uri="{3e2802c4-a4d2-4d8b-9148-e3be6c30e623}">
          <xlrd:rvb i="220"/>
        </ext>
      </extLst>
    </bk>
    <bk>
      <extLst>
        <ext uri="{3e2802c4-a4d2-4d8b-9148-e3be6c30e623}">
          <xlrd:rvb i="221"/>
        </ext>
      </extLst>
    </bk>
    <bk>
      <extLst>
        <ext uri="{3e2802c4-a4d2-4d8b-9148-e3be6c30e623}">
          <xlrd:rvb i="222"/>
        </ext>
      </extLst>
    </bk>
    <bk>
      <extLst>
        <ext uri="{3e2802c4-a4d2-4d8b-9148-e3be6c30e623}">
          <xlrd:rvb i="223"/>
        </ext>
      </extLst>
    </bk>
    <bk>
      <extLst>
        <ext uri="{3e2802c4-a4d2-4d8b-9148-e3be6c30e623}">
          <xlrd:rvb i="224"/>
        </ext>
      </extLst>
    </bk>
    <bk>
      <extLst>
        <ext uri="{3e2802c4-a4d2-4d8b-9148-e3be6c30e623}">
          <xlrd:rvb i="225"/>
        </ext>
      </extLst>
    </bk>
    <bk>
      <extLst>
        <ext uri="{3e2802c4-a4d2-4d8b-9148-e3be6c30e623}">
          <xlrd:rvb i="226"/>
        </ext>
      </extLst>
    </bk>
    <bk>
      <extLst>
        <ext uri="{3e2802c4-a4d2-4d8b-9148-e3be6c30e623}">
          <xlrd:rvb i="227"/>
        </ext>
      </extLst>
    </bk>
    <bk>
      <extLst>
        <ext uri="{3e2802c4-a4d2-4d8b-9148-e3be6c30e623}">
          <xlrd:rvb i="228"/>
        </ext>
      </extLst>
    </bk>
    <bk>
      <extLst>
        <ext uri="{3e2802c4-a4d2-4d8b-9148-e3be6c30e623}">
          <xlrd:rvb i="229"/>
        </ext>
      </extLst>
    </bk>
    <bk>
      <extLst>
        <ext uri="{3e2802c4-a4d2-4d8b-9148-e3be6c30e623}">
          <xlrd:rvb i="230"/>
        </ext>
      </extLst>
    </bk>
    <bk>
      <extLst>
        <ext uri="{3e2802c4-a4d2-4d8b-9148-e3be6c30e623}">
          <xlrd:rvb i="231"/>
        </ext>
      </extLst>
    </bk>
    <bk>
      <extLst>
        <ext uri="{3e2802c4-a4d2-4d8b-9148-e3be6c30e623}">
          <xlrd:rvb i="232"/>
        </ext>
      </extLst>
    </bk>
    <bk>
      <extLst>
        <ext uri="{3e2802c4-a4d2-4d8b-9148-e3be6c30e623}">
          <xlrd:rvb i="233"/>
        </ext>
      </extLst>
    </bk>
    <bk>
      <extLst>
        <ext uri="{3e2802c4-a4d2-4d8b-9148-e3be6c30e623}">
          <xlrd:rvb i="234"/>
        </ext>
      </extLst>
    </bk>
    <bk>
      <extLst>
        <ext uri="{3e2802c4-a4d2-4d8b-9148-e3be6c30e623}">
          <xlrd:rvb i="235"/>
        </ext>
      </extLst>
    </bk>
    <bk>
      <extLst>
        <ext uri="{3e2802c4-a4d2-4d8b-9148-e3be6c30e623}">
          <xlrd:rvb i="236"/>
        </ext>
      </extLst>
    </bk>
    <bk>
      <extLst>
        <ext uri="{3e2802c4-a4d2-4d8b-9148-e3be6c30e623}">
          <xlrd:rvb i="237"/>
        </ext>
      </extLst>
    </bk>
    <bk>
      <extLst>
        <ext uri="{3e2802c4-a4d2-4d8b-9148-e3be6c30e623}">
          <xlrd:rvb i="238"/>
        </ext>
      </extLst>
    </bk>
    <bk>
      <extLst>
        <ext uri="{3e2802c4-a4d2-4d8b-9148-e3be6c30e623}">
          <xlrd:rvb i="239"/>
        </ext>
      </extLst>
    </bk>
    <bk>
      <extLst>
        <ext uri="{3e2802c4-a4d2-4d8b-9148-e3be6c30e623}">
          <xlrd:rvb i="240"/>
        </ext>
      </extLst>
    </bk>
    <bk>
      <extLst>
        <ext uri="{3e2802c4-a4d2-4d8b-9148-e3be6c30e623}">
          <xlrd:rvb i="241"/>
        </ext>
      </extLst>
    </bk>
    <bk>
      <extLst>
        <ext uri="{3e2802c4-a4d2-4d8b-9148-e3be6c30e623}">
          <xlrd:rvb i="242"/>
        </ext>
      </extLst>
    </bk>
    <bk>
      <extLst>
        <ext uri="{3e2802c4-a4d2-4d8b-9148-e3be6c30e623}">
          <xlrd:rvb i="243"/>
        </ext>
      </extLst>
    </bk>
    <bk>
      <extLst>
        <ext uri="{3e2802c4-a4d2-4d8b-9148-e3be6c30e623}">
          <xlrd:rvb i="244"/>
        </ext>
      </extLst>
    </bk>
    <bk>
      <extLst>
        <ext uri="{3e2802c4-a4d2-4d8b-9148-e3be6c30e623}">
          <xlrd:rvb i="245"/>
        </ext>
      </extLst>
    </bk>
    <bk>
      <extLst>
        <ext uri="{3e2802c4-a4d2-4d8b-9148-e3be6c30e623}">
          <xlrd:rvb i="246"/>
        </ext>
      </extLst>
    </bk>
    <bk>
      <extLst>
        <ext uri="{3e2802c4-a4d2-4d8b-9148-e3be6c30e623}">
          <xlrd:rvb i="247"/>
        </ext>
      </extLst>
    </bk>
    <bk>
      <extLst>
        <ext uri="{3e2802c4-a4d2-4d8b-9148-e3be6c30e623}">
          <xlrd:rvb i="248"/>
        </ext>
      </extLst>
    </bk>
    <bk>
      <extLst>
        <ext uri="{3e2802c4-a4d2-4d8b-9148-e3be6c30e623}">
          <xlrd:rvb i="249"/>
        </ext>
      </extLst>
    </bk>
    <bk>
      <extLst>
        <ext uri="{3e2802c4-a4d2-4d8b-9148-e3be6c30e623}">
          <xlrd:rvb i="250"/>
        </ext>
      </extLst>
    </bk>
    <bk>
      <extLst>
        <ext uri="{3e2802c4-a4d2-4d8b-9148-e3be6c30e623}">
          <xlrd:rvb i="251"/>
        </ext>
      </extLst>
    </bk>
    <bk>
      <extLst>
        <ext uri="{3e2802c4-a4d2-4d8b-9148-e3be6c30e623}">
          <xlrd:rvb i="252"/>
        </ext>
      </extLst>
    </bk>
    <bk>
      <extLst>
        <ext uri="{3e2802c4-a4d2-4d8b-9148-e3be6c30e623}">
          <xlrd:rvb i="253"/>
        </ext>
      </extLst>
    </bk>
    <bk>
      <extLst>
        <ext uri="{3e2802c4-a4d2-4d8b-9148-e3be6c30e623}">
          <xlrd:rvb i="254"/>
        </ext>
      </extLst>
    </bk>
    <bk>
      <extLst>
        <ext uri="{3e2802c4-a4d2-4d8b-9148-e3be6c30e623}">
          <xlrd:rvb i="255"/>
        </ext>
      </extLst>
    </bk>
    <bk>
      <extLst>
        <ext uri="{3e2802c4-a4d2-4d8b-9148-e3be6c30e623}">
          <xlrd:rvb i="256"/>
        </ext>
      </extLst>
    </bk>
    <bk>
      <extLst>
        <ext uri="{3e2802c4-a4d2-4d8b-9148-e3be6c30e623}">
          <xlrd:rvb i="257"/>
        </ext>
      </extLst>
    </bk>
    <bk>
      <extLst>
        <ext uri="{3e2802c4-a4d2-4d8b-9148-e3be6c30e623}">
          <xlrd:rvb i="258"/>
        </ext>
      </extLst>
    </bk>
    <bk>
      <extLst>
        <ext uri="{3e2802c4-a4d2-4d8b-9148-e3be6c30e623}">
          <xlrd:rvb i="259"/>
        </ext>
      </extLst>
    </bk>
    <bk>
      <extLst>
        <ext uri="{3e2802c4-a4d2-4d8b-9148-e3be6c30e623}">
          <xlrd:rvb i="260"/>
        </ext>
      </extLst>
    </bk>
    <bk>
      <extLst>
        <ext uri="{3e2802c4-a4d2-4d8b-9148-e3be6c30e623}">
          <xlrd:rvb i="261"/>
        </ext>
      </extLst>
    </bk>
    <bk>
      <extLst>
        <ext uri="{3e2802c4-a4d2-4d8b-9148-e3be6c30e623}">
          <xlrd:rvb i="262"/>
        </ext>
      </extLst>
    </bk>
    <bk>
      <extLst>
        <ext uri="{3e2802c4-a4d2-4d8b-9148-e3be6c30e623}">
          <xlrd:rvb i="263"/>
        </ext>
      </extLst>
    </bk>
    <bk>
      <extLst>
        <ext uri="{3e2802c4-a4d2-4d8b-9148-e3be6c30e623}">
          <xlrd:rvb i="264"/>
        </ext>
      </extLst>
    </bk>
    <bk>
      <extLst>
        <ext uri="{3e2802c4-a4d2-4d8b-9148-e3be6c30e623}">
          <xlrd:rvb i="265"/>
        </ext>
      </extLst>
    </bk>
    <bk>
      <extLst>
        <ext uri="{3e2802c4-a4d2-4d8b-9148-e3be6c30e623}">
          <xlrd:rvb i="266"/>
        </ext>
      </extLst>
    </bk>
    <bk>
      <extLst>
        <ext uri="{3e2802c4-a4d2-4d8b-9148-e3be6c30e623}">
          <xlrd:rvb i="267"/>
        </ext>
      </extLst>
    </bk>
    <bk>
      <extLst>
        <ext uri="{3e2802c4-a4d2-4d8b-9148-e3be6c30e623}">
          <xlrd:rvb i="268"/>
        </ext>
      </extLst>
    </bk>
    <bk>
      <extLst>
        <ext uri="{3e2802c4-a4d2-4d8b-9148-e3be6c30e623}">
          <xlrd:rvb i="269"/>
        </ext>
      </extLst>
    </bk>
    <bk>
      <extLst>
        <ext uri="{3e2802c4-a4d2-4d8b-9148-e3be6c30e623}">
          <xlrd:rvb i="270"/>
        </ext>
      </extLst>
    </bk>
    <bk>
      <extLst>
        <ext uri="{3e2802c4-a4d2-4d8b-9148-e3be6c30e623}">
          <xlrd:rvb i="271"/>
        </ext>
      </extLst>
    </bk>
    <bk>
      <extLst>
        <ext uri="{3e2802c4-a4d2-4d8b-9148-e3be6c30e623}">
          <xlrd:rvb i="272"/>
        </ext>
      </extLst>
    </bk>
    <bk>
      <extLst>
        <ext uri="{3e2802c4-a4d2-4d8b-9148-e3be6c30e623}">
          <xlrd:rvb i="273"/>
        </ext>
      </extLst>
    </bk>
    <bk>
      <extLst>
        <ext uri="{3e2802c4-a4d2-4d8b-9148-e3be6c30e623}">
          <xlrd:rvb i="274"/>
        </ext>
      </extLst>
    </bk>
    <bk>
      <extLst>
        <ext uri="{3e2802c4-a4d2-4d8b-9148-e3be6c30e623}">
          <xlrd:rvb i="275"/>
        </ext>
      </extLst>
    </bk>
    <bk>
      <extLst>
        <ext uri="{3e2802c4-a4d2-4d8b-9148-e3be6c30e623}">
          <xlrd:rvb i="276"/>
        </ext>
      </extLst>
    </bk>
    <bk>
      <extLst>
        <ext uri="{3e2802c4-a4d2-4d8b-9148-e3be6c30e623}">
          <xlrd:rvb i="277"/>
        </ext>
      </extLst>
    </bk>
    <bk>
      <extLst>
        <ext uri="{3e2802c4-a4d2-4d8b-9148-e3be6c30e623}">
          <xlrd:rvb i="278"/>
        </ext>
      </extLst>
    </bk>
    <bk>
      <extLst>
        <ext uri="{3e2802c4-a4d2-4d8b-9148-e3be6c30e623}">
          <xlrd:rvb i="279"/>
        </ext>
      </extLst>
    </bk>
    <bk>
      <extLst>
        <ext uri="{3e2802c4-a4d2-4d8b-9148-e3be6c30e623}">
          <xlrd:rvb i="280"/>
        </ext>
      </extLst>
    </bk>
    <bk>
      <extLst>
        <ext uri="{3e2802c4-a4d2-4d8b-9148-e3be6c30e623}">
          <xlrd:rvb i="281"/>
        </ext>
      </extLst>
    </bk>
    <bk>
      <extLst>
        <ext uri="{3e2802c4-a4d2-4d8b-9148-e3be6c30e623}">
          <xlrd:rvb i="282"/>
        </ext>
      </extLst>
    </bk>
    <bk>
      <extLst>
        <ext uri="{3e2802c4-a4d2-4d8b-9148-e3be6c30e623}">
          <xlrd:rvb i="283"/>
        </ext>
      </extLst>
    </bk>
    <bk>
      <extLst>
        <ext uri="{3e2802c4-a4d2-4d8b-9148-e3be6c30e623}">
          <xlrd:rvb i="284"/>
        </ext>
      </extLst>
    </bk>
    <bk>
      <extLst>
        <ext uri="{3e2802c4-a4d2-4d8b-9148-e3be6c30e623}">
          <xlrd:rvb i="285"/>
        </ext>
      </extLst>
    </bk>
    <bk>
      <extLst>
        <ext uri="{3e2802c4-a4d2-4d8b-9148-e3be6c30e623}">
          <xlrd:rvb i="286"/>
        </ext>
      </extLst>
    </bk>
    <bk>
      <extLst>
        <ext uri="{3e2802c4-a4d2-4d8b-9148-e3be6c30e623}">
          <xlrd:rvb i="287"/>
        </ext>
      </extLst>
    </bk>
    <bk>
      <extLst>
        <ext uri="{3e2802c4-a4d2-4d8b-9148-e3be6c30e623}">
          <xlrd:rvb i="288"/>
        </ext>
      </extLst>
    </bk>
    <bk>
      <extLst>
        <ext uri="{3e2802c4-a4d2-4d8b-9148-e3be6c30e623}">
          <xlrd:rvb i="289"/>
        </ext>
      </extLst>
    </bk>
    <bk>
      <extLst>
        <ext uri="{3e2802c4-a4d2-4d8b-9148-e3be6c30e623}">
          <xlrd:rvb i="290"/>
        </ext>
      </extLst>
    </bk>
    <bk>
      <extLst>
        <ext uri="{3e2802c4-a4d2-4d8b-9148-e3be6c30e623}">
          <xlrd:rvb i="291"/>
        </ext>
      </extLst>
    </bk>
    <bk>
      <extLst>
        <ext uri="{3e2802c4-a4d2-4d8b-9148-e3be6c30e623}">
          <xlrd:rvb i="292"/>
        </ext>
      </extLst>
    </bk>
    <bk>
      <extLst>
        <ext uri="{3e2802c4-a4d2-4d8b-9148-e3be6c30e623}">
          <xlrd:rvb i="293"/>
        </ext>
      </extLst>
    </bk>
    <bk>
      <extLst>
        <ext uri="{3e2802c4-a4d2-4d8b-9148-e3be6c30e623}">
          <xlrd:rvb i="294"/>
        </ext>
      </extLst>
    </bk>
    <bk>
      <extLst>
        <ext uri="{3e2802c4-a4d2-4d8b-9148-e3be6c30e623}">
          <xlrd:rvb i="295"/>
        </ext>
      </extLst>
    </bk>
    <bk>
      <extLst>
        <ext uri="{3e2802c4-a4d2-4d8b-9148-e3be6c30e623}">
          <xlrd:rvb i="296"/>
        </ext>
      </extLst>
    </bk>
    <bk>
      <extLst>
        <ext uri="{3e2802c4-a4d2-4d8b-9148-e3be6c30e623}">
          <xlrd:rvb i="297"/>
        </ext>
      </extLst>
    </bk>
    <bk>
      <extLst>
        <ext uri="{3e2802c4-a4d2-4d8b-9148-e3be6c30e623}">
          <xlrd:rvb i="298"/>
        </ext>
      </extLst>
    </bk>
    <bk>
      <extLst>
        <ext uri="{3e2802c4-a4d2-4d8b-9148-e3be6c30e623}">
          <xlrd:rvb i="299"/>
        </ext>
      </extLst>
    </bk>
    <bk>
      <extLst>
        <ext uri="{3e2802c4-a4d2-4d8b-9148-e3be6c30e623}">
          <xlrd:rvb i="300"/>
        </ext>
      </extLst>
    </bk>
    <bk>
      <extLst>
        <ext uri="{3e2802c4-a4d2-4d8b-9148-e3be6c30e623}">
          <xlrd:rvb i="301"/>
        </ext>
      </extLst>
    </bk>
    <bk>
      <extLst>
        <ext uri="{3e2802c4-a4d2-4d8b-9148-e3be6c30e623}">
          <xlrd:rvb i="302"/>
        </ext>
      </extLst>
    </bk>
    <bk>
      <extLst>
        <ext uri="{3e2802c4-a4d2-4d8b-9148-e3be6c30e623}">
          <xlrd:rvb i="303"/>
        </ext>
      </extLst>
    </bk>
    <bk>
      <extLst>
        <ext uri="{3e2802c4-a4d2-4d8b-9148-e3be6c30e623}">
          <xlrd:rvb i="304"/>
        </ext>
      </extLst>
    </bk>
    <bk>
      <extLst>
        <ext uri="{3e2802c4-a4d2-4d8b-9148-e3be6c30e623}">
          <xlrd:rvb i="305"/>
        </ext>
      </extLst>
    </bk>
    <bk>
      <extLst>
        <ext uri="{3e2802c4-a4d2-4d8b-9148-e3be6c30e623}">
          <xlrd:rvb i="306"/>
        </ext>
      </extLst>
    </bk>
    <bk>
      <extLst>
        <ext uri="{3e2802c4-a4d2-4d8b-9148-e3be6c30e623}">
          <xlrd:rvb i="307"/>
        </ext>
      </extLst>
    </bk>
    <bk>
      <extLst>
        <ext uri="{3e2802c4-a4d2-4d8b-9148-e3be6c30e623}">
          <xlrd:rvb i="308"/>
        </ext>
      </extLst>
    </bk>
    <bk>
      <extLst>
        <ext uri="{3e2802c4-a4d2-4d8b-9148-e3be6c30e623}">
          <xlrd:rvb i="309"/>
        </ext>
      </extLst>
    </bk>
    <bk>
      <extLst>
        <ext uri="{3e2802c4-a4d2-4d8b-9148-e3be6c30e623}">
          <xlrd:rvb i="310"/>
        </ext>
      </extLst>
    </bk>
    <bk>
      <extLst>
        <ext uri="{3e2802c4-a4d2-4d8b-9148-e3be6c30e623}">
          <xlrd:rvb i="311"/>
        </ext>
      </extLst>
    </bk>
    <bk>
      <extLst>
        <ext uri="{3e2802c4-a4d2-4d8b-9148-e3be6c30e623}">
          <xlrd:rvb i="312"/>
        </ext>
      </extLst>
    </bk>
    <bk>
      <extLst>
        <ext uri="{3e2802c4-a4d2-4d8b-9148-e3be6c30e623}">
          <xlrd:rvb i="313"/>
        </ext>
      </extLst>
    </bk>
    <bk>
      <extLst>
        <ext uri="{3e2802c4-a4d2-4d8b-9148-e3be6c30e623}">
          <xlrd:rvb i="314"/>
        </ext>
      </extLst>
    </bk>
    <bk>
      <extLst>
        <ext uri="{3e2802c4-a4d2-4d8b-9148-e3be6c30e623}">
          <xlrd:rvb i="315"/>
        </ext>
      </extLst>
    </bk>
    <bk>
      <extLst>
        <ext uri="{3e2802c4-a4d2-4d8b-9148-e3be6c30e623}">
          <xlrd:rvb i="316"/>
        </ext>
      </extLst>
    </bk>
    <bk>
      <extLst>
        <ext uri="{3e2802c4-a4d2-4d8b-9148-e3be6c30e623}">
          <xlrd:rvb i="317"/>
        </ext>
      </extLst>
    </bk>
    <bk>
      <extLst>
        <ext uri="{3e2802c4-a4d2-4d8b-9148-e3be6c30e623}">
          <xlrd:rvb i="318"/>
        </ext>
      </extLst>
    </bk>
    <bk>
      <extLst>
        <ext uri="{3e2802c4-a4d2-4d8b-9148-e3be6c30e623}">
          <xlrd:rvb i="319"/>
        </ext>
      </extLst>
    </bk>
    <bk>
      <extLst>
        <ext uri="{3e2802c4-a4d2-4d8b-9148-e3be6c30e623}">
          <xlrd:rvb i="320"/>
        </ext>
      </extLst>
    </bk>
    <bk>
      <extLst>
        <ext uri="{3e2802c4-a4d2-4d8b-9148-e3be6c30e623}">
          <xlrd:rvb i="321"/>
        </ext>
      </extLst>
    </bk>
    <bk>
      <extLst>
        <ext uri="{3e2802c4-a4d2-4d8b-9148-e3be6c30e623}">
          <xlrd:rvb i="322"/>
        </ext>
      </extLst>
    </bk>
    <bk>
      <extLst>
        <ext uri="{3e2802c4-a4d2-4d8b-9148-e3be6c30e623}">
          <xlrd:rvb i="323"/>
        </ext>
      </extLst>
    </bk>
    <bk>
      <extLst>
        <ext uri="{3e2802c4-a4d2-4d8b-9148-e3be6c30e623}">
          <xlrd:rvb i="324"/>
        </ext>
      </extLst>
    </bk>
    <bk>
      <extLst>
        <ext uri="{3e2802c4-a4d2-4d8b-9148-e3be6c30e623}">
          <xlrd:rvb i="325"/>
        </ext>
      </extLst>
    </bk>
    <bk>
      <extLst>
        <ext uri="{3e2802c4-a4d2-4d8b-9148-e3be6c30e623}">
          <xlrd:rvb i="326"/>
        </ext>
      </extLst>
    </bk>
    <bk>
      <extLst>
        <ext uri="{3e2802c4-a4d2-4d8b-9148-e3be6c30e623}">
          <xlrd:rvb i="327"/>
        </ext>
      </extLst>
    </bk>
    <bk>
      <extLst>
        <ext uri="{3e2802c4-a4d2-4d8b-9148-e3be6c30e623}">
          <xlrd:rvb i="328"/>
        </ext>
      </extLst>
    </bk>
    <bk>
      <extLst>
        <ext uri="{3e2802c4-a4d2-4d8b-9148-e3be6c30e623}">
          <xlrd:rvb i="329"/>
        </ext>
      </extLst>
    </bk>
    <bk>
      <extLst>
        <ext uri="{3e2802c4-a4d2-4d8b-9148-e3be6c30e623}">
          <xlrd:rvb i="330"/>
        </ext>
      </extLst>
    </bk>
    <bk>
      <extLst>
        <ext uri="{3e2802c4-a4d2-4d8b-9148-e3be6c30e623}">
          <xlrd:rvb i="331"/>
        </ext>
      </extLst>
    </bk>
    <bk>
      <extLst>
        <ext uri="{3e2802c4-a4d2-4d8b-9148-e3be6c30e623}">
          <xlrd:rvb i="332"/>
        </ext>
      </extLst>
    </bk>
    <bk>
      <extLst>
        <ext uri="{3e2802c4-a4d2-4d8b-9148-e3be6c30e623}">
          <xlrd:rvb i="333"/>
        </ext>
      </extLst>
    </bk>
    <bk>
      <extLst>
        <ext uri="{3e2802c4-a4d2-4d8b-9148-e3be6c30e623}">
          <xlrd:rvb i="334"/>
        </ext>
      </extLst>
    </bk>
    <bk>
      <extLst>
        <ext uri="{3e2802c4-a4d2-4d8b-9148-e3be6c30e623}">
          <xlrd:rvb i="335"/>
        </ext>
      </extLst>
    </bk>
    <bk>
      <extLst>
        <ext uri="{3e2802c4-a4d2-4d8b-9148-e3be6c30e623}">
          <xlrd:rvb i="336"/>
        </ext>
      </extLst>
    </bk>
    <bk>
      <extLst>
        <ext uri="{3e2802c4-a4d2-4d8b-9148-e3be6c30e623}">
          <xlrd:rvb i="337"/>
        </ext>
      </extLst>
    </bk>
    <bk>
      <extLst>
        <ext uri="{3e2802c4-a4d2-4d8b-9148-e3be6c30e623}">
          <xlrd:rvb i="338"/>
        </ext>
      </extLst>
    </bk>
    <bk>
      <extLst>
        <ext uri="{3e2802c4-a4d2-4d8b-9148-e3be6c30e623}">
          <xlrd:rvb i="339"/>
        </ext>
      </extLst>
    </bk>
    <bk>
      <extLst>
        <ext uri="{3e2802c4-a4d2-4d8b-9148-e3be6c30e623}">
          <xlrd:rvb i="340"/>
        </ext>
      </extLst>
    </bk>
    <bk>
      <extLst>
        <ext uri="{3e2802c4-a4d2-4d8b-9148-e3be6c30e623}">
          <xlrd:rvb i="341"/>
        </ext>
      </extLst>
    </bk>
    <bk>
      <extLst>
        <ext uri="{3e2802c4-a4d2-4d8b-9148-e3be6c30e623}">
          <xlrd:rvb i="342"/>
        </ext>
      </extLst>
    </bk>
    <bk>
      <extLst>
        <ext uri="{3e2802c4-a4d2-4d8b-9148-e3be6c30e623}">
          <xlrd:rvb i="343"/>
        </ext>
      </extLst>
    </bk>
    <bk>
      <extLst>
        <ext uri="{3e2802c4-a4d2-4d8b-9148-e3be6c30e623}">
          <xlrd:rvb i="344"/>
        </ext>
      </extLst>
    </bk>
    <bk>
      <extLst>
        <ext uri="{3e2802c4-a4d2-4d8b-9148-e3be6c30e623}">
          <xlrd:rvb i="345"/>
        </ext>
      </extLst>
    </bk>
    <bk>
      <extLst>
        <ext uri="{3e2802c4-a4d2-4d8b-9148-e3be6c30e623}">
          <xlrd:rvb i="346"/>
        </ext>
      </extLst>
    </bk>
    <bk>
      <extLst>
        <ext uri="{3e2802c4-a4d2-4d8b-9148-e3be6c30e623}">
          <xlrd:rvb i="347"/>
        </ext>
      </extLst>
    </bk>
    <bk>
      <extLst>
        <ext uri="{3e2802c4-a4d2-4d8b-9148-e3be6c30e623}">
          <xlrd:rvb i="348"/>
        </ext>
      </extLst>
    </bk>
    <bk>
      <extLst>
        <ext uri="{3e2802c4-a4d2-4d8b-9148-e3be6c30e623}">
          <xlrd:rvb i="349"/>
        </ext>
      </extLst>
    </bk>
    <bk>
      <extLst>
        <ext uri="{3e2802c4-a4d2-4d8b-9148-e3be6c30e623}">
          <xlrd:rvb i="350"/>
        </ext>
      </extLst>
    </bk>
    <bk>
      <extLst>
        <ext uri="{3e2802c4-a4d2-4d8b-9148-e3be6c30e623}">
          <xlrd:rvb i="351"/>
        </ext>
      </extLst>
    </bk>
    <bk>
      <extLst>
        <ext uri="{3e2802c4-a4d2-4d8b-9148-e3be6c30e623}">
          <xlrd:rvb i="352"/>
        </ext>
      </extLst>
    </bk>
    <bk>
      <extLst>
        <ext uri="{3e2802c4-a4d2-4d8b-9148-e3be6c30e623}">
          <xlrd:rvb i="353"/>
        </ext>
      </extLst>
    </bk>
    <bk>
      <extLst>
        <ext uri="{3e2802c4-a4d2-4d8b-9148-e3be6c30e623}">
          <xlrd:rvb i="354"/>
        </ext>
      </extLst>
    </bk>
    <bk>
      <extLst>
        <ext uri="{3e2802c4-a4d2-4d8b-9148-e3be6c30e623}">
          <xlrd:rvb i="355"/>
        </ext>
      </extLst>
    </bk>
    <bk>
      <extLst>
        <ext uri="{3e2802c4-a4d2-4d8b-9148-e3be6c30e623}">
          <xlrd:rvb i="356"/>
        </ext>
      </extLst>
    </bk>
    <bk>
      <extLst>
        <ext uri="{3e2802c4-a4d2-4d8b-9148-e3be6c30e623}">
          <xlrd:rvb i="357"/>
        </ext>
      </extLst>
    </bk>
    <bk>
      <extLst>
        <ext uri="{3e2802c4-a4d2-4d8b-9148-e3be6c30e623}">
          <xlrd:rvb i="358"/>
        </ext>
      </extLst>
    </bk>
    <bk>
      <extLst>
        <ext uri="{3e2802c4-a4d2-4d8b-9148-e3be6c30e623}">
          <xlrd:rvb i="359"/>
        </ext>
      </extLst>
    </bk>
    <bk>
      <extLst>
        <ext uri="{3e2802c4-a4d2-4d8b-9148-e3be6c30e623}">
          <xlrd:rvb i="360"/>
        </ext>
      </extLst>
    </bk>
    <bk>
      <extLst>
        <ext uri="{3e2802c4-a4d2-4d8b-9148-e3be6c30e623}">
          <xlrd:rvb i="361"/>
        </ext>
      </extLst>
    </bk>
    <bk>
      <extLst>
        <ext uri="{3e2802c4-a4d2-4d8b-9148-e3be6c30e623}">
          <xlrd:rvb i="362"/>
        </ext>
      </extLst>
    </bk>
    <bk>
      <extLst>
        <ext uri="{3e2802c4-a4d2-4d8b-9148-e3be6c30e623}">
          <xlrd:rvb i="363"/>
        </ext>
      </extLst>
    </bk>
    <bk>
      <extLst>
        <ext uri="{3e2802c4-a4d2-4d8b-9148-e3be6c30e623}">
          <xlrd:rvb i="364"/>
        </ext>
      </extLst>
    </bk>
    <bk>
      <extLst>
        <ext uri="{3e2802c4-a4d2-4d8b-9148-e3be6c30e623}">
          <xlrd:rvb i="365"/>
        </ext>
      </extLst>
    </bk>
    <bk>
      <extLst>
        <ext uri="{3e2802c4-a4d2-4d8b-9148-e3be6c30e623}">
          <xlrd:rvb i="366"/>
        </ext>
      </extLst>
    </bk>
    <bk>
      <extLst>
        <ext uri="{3e2802c4-a4d2-4d8b-9148-e3be6c30e623}">
          <xlrd:rvb i="367"/>
        </ext>
      </extLst>
    </bk>
    <bk>
      <extLst>
        <ext uri="{3e2802c4-a4d2-4d8b-9148-e3be6c30e623}">
          <xlrd:rvb i="368"/>
        </ext>
      </extLst>
    </bk>
    <bk>
      <extLst>
        <ext uri="{3e2802c4-a4d2-4d8b-9148-e3be6c30e623}">
          <xlrd:rvb i="369"/>
        </ext>
      </extLst>
    </bk>
    <bk>
      <extLst>
        <ext uri="{3e2802c4-a4d2-4d8b-9148-e3be6c30e623}">
          <xlrd:rvb i="370"/>
        </ext>
      </extLst>
    </bk>
    <bk>
      <extLst>
        <ext uri="{3e2802c4-a4d2-4d8b-9148-e3be6c30e623}">
          <xlrd:rvb i="371"/>
        </ext>
      </extLst>
    </bk>
    <bk>
      <extLst>
        <ext uri="{3e2802c4-a4d2-4d8b-9148-e3be6c30e623}">
          <xlrd:rvb i="372"/>
        </ext>
      </extLst>
    </bk>
    <bk>
      <extLst>
        <ext uri="{3e2802c4-a4d2-4d8b-9148-e3be6c30e623}">
          <xlrd:rvb i="373"/>
        </ext>
      </extLst>
    </bk>
    <bk>
      <extLst>
        <ext uri="{3e2802c4-a4d2-4d8b-9148-e3be6c30e623}">
          <xlrd:rvb i="374"/>
        </ext>
      </extLst>
    </bk>
    <bk>
      <extLst>
        <ext uri="{3e2802c4-a4d2-4d8b-9148-e3be6c30e623}">
          <xlrd:rvb i="375"/>
        </ext>
      </extLst>
    </bk>
    <bk>
      <extLst>
        <ext uri="{3e2802c4-a4d2-4d8b-9148-e3be6c30e623}">
          <xlrd:rvb i="376"/>
        </ext>
      </extLst>
    </bk>
    <bk>
      <extLst>
        <ext uri="{3e2802c4-a4d2-4d8b-9148-e3be6c30e623}">
          <xlrd:rvb i="377"/>
        </ext>
      </extLst>
    </bk>
    <bk>
      <extLst>
        <ext uri="{3e2802c4-a4d2-4d8b-9148-e3be6c30e623}">
          <xlrd:rvb i="378"/>
        </ext>
      </extLst>
    </bk>
    <bk>
      <extLst>
        <ext uri="{3e2802c4-a4d2-4d8b-9148-e3be6c30e623}">
          <xlrd:rvb i="379"/>
        </ext>
      </extLst>
    </bk>
    <bk>
      <extLst>
        <ext uri="{3e2802c4-a4d2-4d8b-9148-e3be6c30e623}">
          <xlrd:rvb i="380"/>
        </ext>
      </extLst>
    </bk>
    <bk>
      <extLst>
        <ext uri="{3e2802c4-a4d2-4d8b-9148-e3be6c30e623}">
          <xlrd:rvb i="381"/>
        </ext>
      </extLst>
    </bk>
    <bk>
      <extLst>
        <ext uri="{3e2802c4-a4d2-4d8b-9148-e3be6c30e623}">
          <xlrd:rvb i="382"/>
        </ext>
      </extLst>
    </bk>
    <bk>
      <extLst>
        <ext uri="{3e2802c4-a4d2-4d8b-9148-e3be6c30e623}">
          <xlrd:rvb i="383"/>
        </ext>
      </extLst>
    </bk>
    <bk>
      <extLst>
        <ext uri="{3e2802c4-a4d2-4d8b-9148-e3be6c30e623}">
          <xlrd:rvb i="384"/>
        </ext>
      </extLst>
    </bk>
    <bk>
      <extLst>
        <ext uri="{3e2802c4-a4d2-4d8b-9148-e3be6c30e623}">
          <xlrd:rvb i="385"/>
        </ext>
      </extLst>
    </bk>
    <bk>
      <extLst>
        <ext uri="{3e2802c4-a4d2-4d8b-9148-e3be6c30e623}">
          <xlrd:rvb i="386"/>
        </ext>
      </extLst>
    </bk>
    <bk>
      <extLst>
        <ext uri="{3e2802c4-a4d2-4d8b-9148-e3be6c30e623}">
          <xlrd:rvb i="387"/>
        </ext>
      </extLst>
    </bk>
    <bk>
      <extLst>
        <ext uri="{3e2802c4-a4d2-4d8b-9148-e3be6c30e623}">
          <xlrd:rvb i="388"/>
        </ext>
      </extLst>
    </bk>
    <bk>
      <extLst>
        <ext uri="{3e2802c4-a4d2-4d8b-9148-e3be6c30e623}">
          <xlrd:rvb i="389"/>
        </ext>
      </extLst>
    </bk>
    <bk>
      <extLst>
        <ext uri="{3e2802c4-a4d2-4d8b-9148-e3be6c30e623}">
          <xlrd:rvb i="390"/>
        </ext>
      </extLst>
    </bk>
    <bk>
      <extLst>
        <ext uri="{3e2802c4-a4d2-4d8b-9148-e3be6c30e623}">
          <xlrd:rvb i="391"/>
        </ext>
      </extLst>
    </bk>
    <bk>
      <extLst>
        <ext uri="{3e2802c4-a4d2-4d8b-9148-e3be6c30e623}">
          <xlrd:rvb i="392"/>
        </ext>
      </extLst>
    </bk>
    <bk>
      <extLst>
        <ext uri="{3e2802c4-a4d2-4d8b-9148-e3be6c30e623}">
          <xlrd:rvb i="393"/>
        </ext>
      </extLst>
    </bk>
    <bk>
      <extLst>
        <ext uri="{3e2802c4-a4d2-4d8b-9148-e3be6c30e623}">
          <xlrd:rvb i="394"/>
        </ext>
      </extLst>
    </bk>
    <bk>
      <extLst>
        <ext uri="{3e2802c4-a4d2-4d8b-9148-e3be6c30e623}">
          <xlrd:rvb i="395"/>
        </ext>
      </extLst>
    </bk>
    <bk>
      <extLst>
        <ext uri="{3e2802c4-a4d2-4d8b-9148-e3be6c30e623}">
          <xlrd:rvb i="396"/>
        </ext>
      </extLst>
    </bk>
    <bk>
      <extLst>
        <ext uri="{3e2802c4-a4d2-4d8b-9148-e3be6c30e623}">
          <xlrd:rvb i="397"/>
        </ext>
      </extLst>
    </bk>
    <bk>
      <extLst>
        <ext uri="{3e2802c4-a4d2-4d8b-9148-e3be6c30e623}">
          <xlrd:rvb i="398"/>
        </ext>
      </extLst>
    </bk>
    <bk>
      <extLst>
        <ext uri="{3e2802c4-a4d2-4d8b-9148-e3be6c30e623}">
          <xlrd:rvb i="399"/>
        </ext>
      </extLst>
    </bk>
    <bk>
      <extLst>
        <ext uri="{3e2802c4-a4d2-4d8b-9148-e3be6c30e623}">
          <xlrd:rvb i="400"/>
        </ext>
      </extLst>
    </bk>
    <bk>
      <extLst>
        <ext uri="{3e2802c4-a4d2-4d8b-9148-e3be6c30e623}">
          <xlrd:rvb i="401"/>
        </ext>
      </extLst>
    </bk>
    <bk>
      <extLst>
        <ext uri="{3e2802c4-a4d2-4d8b-9148-e3be6c30e623}">
          <xlrd:rvb i="402"/>
        </ext>
      </extLst>
    </bk>
    <bk>
      <extLst>
        <ext uri="{3e2802c4-a4d2-4d8b-9148-e3be6c30e623}">
          <xlrd:rvb i="403"/>
        </ext>
      </extLst>
    </bk>
    <bk>
      <extLst>
        <ext uri="{3e2802c4-a4d2-4d8b-9148-e3be6c30e623}">
          <xlrd:rvb i="404"/>
        </ext>
      </extLst>
    </bk>
    <bk>
      <extLst>
        <ext uri="{3e2802c4-a4d2-4d8b-9148-e3be6c30e623}">
          <xlrd:rvb i="405"/>
        </ext>
      </extLst>
    </bk>
    <bk>
      <extLst>
        <ext uri="{3e2802c4-a4d2-4d8b-9148-e3be6c30e623}">
          <xlrd:rvb i="406"/>
        </ext>
      </extLst>
    </bk>
    <bk>
      <extLst>
        <ext uri="{3e2802c4-a4d2-4d8b-9148-e3be6c30e623}">
          <xlrd:rvb i="407"/>
        </ext>
      </extLst>
    </bk>
    <bk>
      <extLst>
        <ext uri="{3e2802c4-a4d2-4d8b-9148-e3be6c30e623}">
          <xlrd:rvb i="408"/>
        </ext>
      </extLst>
    </bk>
    <bk>
      <extLst>
        <ext uri="{3e2802c4-a4d2-4d8b-9148-e3be6c30e623}">
          <xlrd:rvb i="409"/>
        </ext>
      </extLst>
    </bk>
    <bk>
      <extLst>
        <ext uri="{3e2802c4-a4d2-4d8b-9148-e3be6c30e623}">
          <xlrd:rvb i="410"/>
        </ext>
      </extLst>
    </bk>
    <bk>
      <extLst>
        <ext uri="{3e2802c4-a4d2-4d8b-9148-e3be6c30e623}">
          <xlrd:rvb i="411"/>
        </ext>
      </extLst>
    </bk>
    <bk>
      <extLst>
        <ext uri="{3e2802c4-a4d2-4d8b-9148-e3be6c30e623}">
          <xlrd:rvb i="412"/>
        </ext>
      </extLst>
    </bk>
    <bk>
      <extLst>
        <ext uri="{3e2802c4-a4d2-4d8b-9148-e3be6c30e623}">
          <xlrd:rvb i="413"/>
        </ext>
      </extLst>
    </bk>
    <bk>
      <extLst>
        <ext uri="{3e2802c4-a4d2-4d8b-9148-e3be6c30e623}">
          <xlrd:rvb i="414"/>
        </ext>
      </extLst>
    </bk>
    <bk>
      <extLst>
        <ext uri="{3e2802c4-a4d2-4d8b-9148-e3be6c30e623}">
          <xlrd:rvb i="415"/>
        </ext>
      </extLst>
    </bk>
    <bk>
      <extLst>
        <ext uri="{3e2802c4-a4d2-4d8b-9148-e3be6c30e623}">
          <xlrd:rvb i="416"/>
        </ext>
      </extLst>
    </bk>
    <bk>
      <extLst>
        <ext uri="{3e2802c4-a4d2-4d8b-9148-e3be6c30e623}">
          <xlrd:rvb i="417"/>
        </ext>
      </extLst>
    </bk>
    <bk>
      <extLst>
        <ext uri="{3e2802c4-a4d2-4d8b-9148-e3be6c30e623}">
          <xlrd:rvb i="418"/>
        </ext>
      </extLst>
    </bk>
    <bk>
      <extLst>
        <ext uri="{3e2802c4-a4d2-4d8b-9148-e3be6c30e623}">
          <xlrd:rvb i="419"/>
        </ext>
      </extLst>
    </bk>
    <bk>
      <extLst>
        <ext uri="{3e2802c4-a4d2-4d8b-9148-e3be6c30e623}">
          <xlrd:rvb i="420"/>
        </ext>
      </extLst>
    </bk>
    <bk>
      <extLst>
        <ext uri="{3e2802c4-a4d2-4d8b-9148-e3be6c30e623}">
          <xlrd:rvb i="421"/>
        </ext>
      </extLst>
    </bk>
    <bk>
      <extLst>
        <ext uri="{3e2802c4-a4d2-4d8b-9148-e3be6c30e623}">
          <xlrd:rvb i="422"/>
        </ext>
      </extLst>
    </bk>
    <bk>
      <extLst>
        <ext uri="{3e2802c4-a4d2-4d8b-9148-e3be6c30e623}">
          <xlrd:rvb i="423"/>
        </ext>
      </extLst>
    </bk>
    <bk>
      <extLst>
        <ext uri="{3e2802c4-a4d2-4d8b-9148-e3be6c30e623}">
          <xlrd:rvb i="424"/>
        </ext>
      </extLst>
    </bk>
    <bk>
      <extLst>
        <ext uri="{3e2802c4-a4d2-4d8b-9148-e3be6c30e623}">
          <xlrd:rvb i="425"/>
        </ext>
      </extLst>
    </bk>
    <bk>
      <extLst>
        <ext uri="{3e2802c4-a4d2-4d8b-9148-e3be6c30e623}">
          <xlrd:rvb i="426"/>
        </ext>
      </extLst>
    </bk>
    <bk>
      <extLst>
        <ext uri="{3e2802c4-a4d2-4d8b-9148-e3be6c30e623}">
          <xlrd:rvb i="427"/>
        </ext>
      </extLst>
    </bk>
    <bk>
      <extLst>
        <ext uri="{3e2802c4-a4d2-4d8b-9148-e3be6c30e623}">
          <xlrd:rvb i="428"/>
        </ext>
      </extLst>
    </bk>
    <bk>
      <extLst>
        <ext uri="{3e2802c4-a4d2-4d8b-9148-e3be6c30e623}">
          <xlrd:rvb i="429"/>
        </ext>
      </extLst>
    </bk>
    <bk>
      <extLst>
        <ext uri="{3e2802c4-a4d2-4d8b-9148-e3be6c30e623}">
          <xlrd:rvb i="430"/>
        </ext>
      </extLst>
    </bk>
    <bk>
      <extLst>
        <ext uri="{3e2802c4-a4d2-4d8b-9148-e3be6c30e623}">
          <xlrd:rvb i="431"/>
        </ext>
      </extLst>
    </bk>
    <bk>
      <extLst>
        <ext uri="{3e2802c4-a4d2-4d8b-9148-e3be6c30e623}">
          <xlrd:rvb i="432"/>
        </ext>
      </extLst>
    </bk>
    <bk>
      <extLst>
        <ext uri="{3e2802c4-a4d2-4d8b-9148-e3be6c30e623}">
          <xlrd:rvb i="433"/>
        </ext>
      </extLst>
    </bk>
    <bk>
      <extLst>
        <ext uri="{3e2802c4-a4d2-4d8b-9148-e3be6c30e623}">
          <xlrd:rvb i="434"/>
        </ext>
      </extLst>
    </bk>
    <bk>
      <extLst>
        <ext uri="{3e2802c4-a4d2-4d8b-9148-e3be6c30e623}">
          <xlrd:rvb i="435"/>
        </ext>
      </extLst>
    </bk>
    <bk>
      <extLst>
        <ext uri="{3e2802c4-a4d2-4d8b-9148-e3be6c30e623}">
          <xlrd:rvb i="436"/>
        </ext>
      </extLst>
    </bk>
    <bk>
      <extLst>
        <ext uri="{3e2802c4-a4d2-4d8b-9148-e3be6c30e623}">
          <xlrd:rvb i="437"/>
        </ext>
      </extLst>
    </bk>
    <bk>
      <extLst>
        <ext uri="{3e2802c4-a4d2-4d8b-9148-e3be6c30e623}">
          <xlrd:rvb i="438"/>
        </ext>
      </extLst>
    </bk>
    <bk>
      <extLst>
        <ext uri="{3e2802c4-a4d2-4d8b-9148-e3be6c30e623}">
          <xlrd:rvb i="439"/>
        </ext>
      </extLst>
    </bk>
    <bk>
      <extLst>
        <ext uri="{3e2802c4-a4d2-4d8b-9148-e3be6c30e623}">
          <xlrd:rvb i="440"/>
        </ext>
      </extLst>
    </bk>
    <bk>
      <extLst>
        <ext uri="{3e2802c4-a4d2-4d8b-9148-e3be6c30e623}">
          <xlrd:rvb i="441"/>
        </ext>
      </extLst>
    </bk>
    <bk>
      <extLst>
        <ext uri="{3e2802c4-a4d2-4d8b-9148-e3be6c30e623}">
          <xlrd:rvb i="442"/>
        </ext>
      </extLst>
    </bk>
    <bk>
      <extLst>
        <ext uri="{3e2802c4-a4d2-4d8b-9148-e3be6c30e623}">
          <xlrd:rvb i="443"/>
        </ext>
      </extLst>
    </bk>
    <bk>
      <extLst>
        <ext uri="{3e2802c4-a4d2-4d8b-9148-e3be6c30e623}">
          <xlrd:rvb i="444"/>
        </ext>
      </extLst>
    </bk>
    <bk>
      <extLst>
        <ext uri="{3e2802c4-a4d2-4d8b-9148-e3be6c30e623}">
          <xlrd:rvb i="445"/>
        </ext>
      </extLst>
    </bk>
    <bk>
      <extLst>
        <ext uri="{3e2802c4-a4d2-4d8b-9148-e3be6c30e623}">
          <xlrd:rvb i="446"/>
        </ext>
      </extLst>
    </bk>
    <bk>
      <extLst>
        <ext uri="{3e2802c4-a4d2-4d8b-9148-e3be6c30e623}">
          <xlrd:rvb i="447"/>
        </ext>
      </extLst>
    </bk>
    <bk>
      <extLst>
        <ext uri="{3e2802c4-a4d2-4d8b-9148-e3be6c30e623}">
          <xlrd:rvb i="448"/>
        </ext>
      </extLst>
    </bk>
    <bk>
      <extLst>
        <ext uri="{3e2802c4-a4d2-4d8b-9148-e3be6c30e623}">
          <xlrd:rvb i="449"/>
        </ext>
      </extLst>
    </bk>
    <bk>
      <extLst>
        <ext uri="{3e2802c4-a4d2-4d8b-9148-e3be6c30e623}">
          <xlrd:rvb i="450"/>
        </ext>
      </extLst>
    </bk>
    <bk>
      <extLst>
        <ext uri="{3e2802c4-a4d2-4d8b-9148-e3be6c30e623}">
          <xlrd:rvb i="451"/>
        </ext>
      </extLst>
    </bk>
    <bk>
      <extLst>
        <ext uri="{3e2802c4-a4d2-4d8b-9148-e3be6c30e623}">
          <xlrd:rvb i="452"/>
        </ext>
      </extLst>
    </bk>
    <bk>
      <extLst>
        <ext uri="{3e2802c4-a4d2-4d8b-9148-e3be6c30e623}">
          <xlrd:rvb i="453"/>
        </ext>
      </extLst>
    </bk>
    <bk>
      <extLst>
        <ext uri="{3e2802c4-a4d2-4d8b-9148-e3be6c30e623}">
          <xlrd:rvb i="454"/>
        </ext>
      </extLst>
    </bk>
    <bk>
      <extLst>
        <ext uri="{3e2802c4-a4d2-4d8b-9148-e3be6c30e623}">
          <xlrd:rvb i="455"/>
        </ext>
      </extLst>
    </bk>
    <bk>
      <extLst>
        <ext uri="{3e2802c4-a4d2-4d8b-9148-e3be6c30e623}">
          <xlrd:rvb i="456"/>
        </ext>
      </extLst>
    </bk>
    <bk>
      <extLst>
        <ext uri="{3e2802c4-a4d2-4d8b-9148-e3be6c30e623}">
          <xlrd:rvb i="457"/>
        </ext>
      </extLst>
    </bk>
    <bk>
      <extLst>
        <ext uri="{3e2802c4-a4d2-4d8b-9148-e3be6c30e623}">
          <xlrd:rvb i="458"/>
        </ext>
      </extLst>
    </bk>
    <bk>
      <extLst>
        <ext uri="{3e2802c4-a4d2-4d8b-9148-e3be6c30e623}">
          <xlrd:rvb i="459"/>
        </ext>
      </extLst>
    </bk>
    <bk>
      <extLst>
        <ext uri="{3e2802c4-a4d2-4d8b-9148-e3be6c30e623}">
          <xlrd:rvb i="460"/>
        </ext>
      </extLst>
    </bk>
    <bk>
      <extLst>
        <ext uri="{3e2802c4-a4d2-4d8b-9148-e3be6c30e623}">
          <xlrd:rvb i="461"/>
        </ext>
      </extLst>
    </bk>
    <bk>
      <extLst>
        <ext uri="{3e2802c4-a4d2-4d8b-9148-e3be6c30e623}">
          <xlrd:rvb i="462"/>
        </ext>
      </extLst>
    </bk>
    <bk>
      <extLst>
        <ext uri="{3e2802c4-a4d2-4d8b-9148-e3be6c30e623}">
          <xlrd:rvb i="463"/>
        </ext>
      </extLst>
    </bk>
    <bk>
      <extLst>
        <ext uri="{3e2802c4-a4d2-4d8b-9148-e3be6c30e623}">
          <xlrd:rvb i="464"/>
        </ext>
      </extLst>
    </bk>
    <bk>
      <extLst>
        <ext uri="{3e2802c4-a4d2-4d8b-9148-e3be6c30e623}">
          <xlrd:rvb i="465"/>
        </ext>
      </extLst>
    </bk>
    <bk>
      <extLst>
        <ext uri="{3e2802c4-a4d2-4d8b-9148-e3be6c30e623}">
          <xlrd:rvb i="466"/>
        </ext>
      </extLst>
    </bk>
    <bk>
      <extLst>
        <ext uri="{3e2802c4-a4d2-4d8b-9148-e3be6c30e623}">
          <xlrd:rvb i="467"/>
        </ext>
      </extLst>
    </bk>
    <bk>
      <extLst>
        <ext uri="{3e2802c4-a4d2-4d8b-9148-e3be6c30e623}">
          <xlrd:rvb i="468"/>
        </ext>
      </extLst>
    </bk>
    <bk>
      <extLst>
        <ext uri="{3e2802c4-a4d2-4d8b-9148-e3be6c30e623}">
          <xlrd:rvb i="469"/>
        </ext>
      </extLst>
    </bk>
    <bk>
      <extLst>
        <ext uri="{3e2802c4-a4d2-4d8b-9148-e3be6c30e623}">
          <xlrd:rvb i="470"/>
        </ext>
      </extLst>
    </bk>
    <bk>
      <extLst>
        <ext uri="{3e2802c4-a4d2-4d8b-9148-e3be6c30e623}">
          <xlrd:rvb i="471"/>
        </ext>
      </extLst>
    </bk>
    <bk>
      <extLst>
        <ext uri="{3e2802c4-a4d2-4d8b-9148-e3be6c30e623}">
          <xlrd:rvb i="472"/>
        </ext>
      </extLst>
    </bk>
    <bk>
      <extLst>
        <ext uri="{3e2802c4-a4d2-4d8b-9148-e3be6c30e623}">
          <xlrd:rvb i="473"/>
        </ext>
      </extLst>
    </bk>
    <bk>
      <extLst>
        <ext uri="{3e2802c4-a4d2-4d8b-9148-e3be6c30e623}">
          <xlrd:rvb i="474"/>
        </ext>
      </extLst>
    </bk>
    <bk>
      <extLst>
        <ext uri="{3e2802c4-a4d2-4d8b-9148-e3be6c30e623}">
          <xlrd:rvb i="475"/>
        </ext>
      </extLst>
    </bk>
    <bk>
      <extLst>
        <ext uri="{3e2802c4-a4d2-4d8b-9148-e3be6c30e623}">
          <xlrd:rvb i="476"/>
        </ext>
      </extLst>
    </bk>
    <bk>
      <extLst>
        <ext uri="{3e2802c4-a4d2-4d8b-9148-e3be6c30e623}">
          <xlrd:rvb i="477"/>
        </ext>
      </extLst>
    </bk>
    <bk>
      <extLst>
        <ext uri="{3e2802c4-a4d2-4d8b-9148-e3be6c30e623}">
          <xlrd:rvb i="478"/>
        </ext>
      </extLst>
    </bk>
    <bk>
      <extLst>
        <ext uri="{3e2802c4-a4d2-4d8b-9148-e3be6c30e623}">
          <xlrd:rvb i="479"/>
        </ext>
      </extLst>
    </bk>
    <bk>
      <extLst>
        <ext uri="{3e2802c4-a4d2-4d8b-9148-e3be6c30e623}">
          <xlrd:rvb i="480"/>
        </ext>
      </extLst>
    </bk>
    <bk>
      <extLst>
        <ext uri="{3e2802c4-a4d2-4d8b-9148-e3be6c30e623}">
          <xlrd:rvb i="481"/>
        </ext>
      </extLst>
    </bk>
    <bk>
      <extLst>
        <ext uri="{3e2802c4-a4d2-4d8b-9148-e3be6c30e623}">
          <xlrd:rvb i="482"/>
        </ext>
      </extLst>
    </bk>
    <bk>
      <extLst>
        <ext uri="{3e2802c4-a4d2-4d8b-9148-e3be6c30e623}">
          <xlrd:rvb i="483"/>
        </ext>
      </extLst>
    </bk>
    <bk>
      <extLst>
        <ext uri="{3e2802c4-a4d2-4d8b-9148-e3be6c30e623}">
          <xlrd:rvb i="484"/>
        </ext>
      </extLst>
    </bk>
    <bk>
      <extLst>
        <ext uri="{3e2802c4-a4d2-4d8b-9148-e3be6c30e623}">
          <xlrd:rvb i="485"/>
        </ext>
      </extLst>
    </bk>
    <bk>
      <extLst>
        <ext uri="{3e2802c4-a4d2-4d8b-9148-e3be6c30e623}">
          <xlrd:rvb i="486"/>
        </ext>
      </extLst>
    </bk>
    <bk>
      <extLst>
        <ext uri="{3e2802c4-a4d2-4d8b-9148-e3be6c30e623}">
          <xlrd:rvb i="487"/>
        </ext>
      </extLst>
    </bk>
    <bk>
      <extLst>
        <ext uri="{3e2802c4-a4d2-4d8b-9148-e3be6c30e623}">
          <xlrd:rvb i="488"/>
        </ext>
      </extLst>
    </bk>
    <bk>
      <extLst>
        <ext uri="{3e2802c4-a4d2-4d8b-9148-e3be6c30e623}">
          <xlrd:rvb i="489"/>
        </ext>
      </extLst>
    </bk>
    <bk>
      <extLst>
        <ext uri="{3e2802c4-a4d2-4d8b-9148-e3be6c30e623}">
          <xlrd:rvb i="490"/>
        </ext>
      </extLst>
    </bk>
    <bk>
      <extLst>
        <ext uri="{3e2802c4-a4d2-4d8b-9148-e3be6c30e623}">
          <xlrd:rvb i="491"/>
        </ext>
      </extLst>
    </bk>
    <bk>
      <extLst>
        <ext uri="{3e2802c4-a4d2-4d8b-9148-e3be6c30e623}">
          <xlrd:rvb i="492"/>
        </ext>
      </extLst>
    </bk>
    <bk>
      <extLst>
        <ext uri="{3e2802c4-a4d2-4d8b-9148-e3be6c30e623}">
          <xlrd:rvb i="493"/>
        </ext>
      </extLst>
    </bk>
    <bk>
      <extLst>
        <ext uri="{3e2802c4-a4d2-4d8b-9148-e3be6c30e623}">
          <xlrd:rvb i="494"/>
        </ext>
      </extLst>
    </bk>
    <bk>
      <extLst>
        <ext uri="{3e2802c4-a4d2-4d8b-9148-e3be6c30e623}">
          <xlrd:rvb i="495"/>
        </ext>
      </extLst>
    </bk>
    <bk>
      <extLst>
        <ext uri="{3e2802c4-a4d2-4d8b-9148-e3be6c30e623}">
          <xlrd:rvb i="496"/>
        </ext>
      </extLst>
    </bk>
    <bk>
      <extLst>
        <ext uri="{3e2802c4-a4d2-4d8b-9148-e3be6c30e623}">
          <xlrd:rvb i="497"/>
        </ext>
      </extLst>
    </bk>
    <bk>
      <extLst>
        <ext uri="{3e2802c4-a4d2-4d8b-9148-e3be6c30e623}">
          <xlrd:rvb i="498"/>
        </ext>
      </extLst>
    </bk>
    <bk>
      <extLst>
        <ext uri="{3e2802c4-a4d2-4d8b-9148-e3be6c30e623}">
          <xlrd:rvb i="499"/>
        </ext>
      </extLst>
    </bk>
    <bk>
      <extLst>
        <ext uri="{3e2802c4-a4d2-4d8b-9148-e3be6c30e623}">
          <xlrd:rvb i="500"/>
        </ext>
      </extLst>
    </bk>
    <bk>
      <extLst>
        <ext uri="{3e2802c4-a4d2-4d8b-9148-e3be6c30e623}">
          <xlrd:rvb i="501"/>
        </ext>
      </extLst>
    </bk>
    <bk>
      <extLst>
        <ext uri="{3e2802c4-a4d2-4d8b-9148-e3be6c30e623}">
          <xlrd:rvb i="502"/>
        </ext>
      </extLst>
    </bk>
    <bk>
      <extLst>
        <ext uri="{3e2802c4-a4d2-4d8b-9148-e3be6c30e623}">
          <xlrd:rvb i="503"/>
        </ext>
      </extLst>
    </bk>
    <bk>
      <extLst>
        <ext uri="{3e2802c4-a4d2-4d8b-9148-e3be6c30e623}">
          <xlrd:rvb i="504"/>
        </ext>
      </extLst>
    </bk>
    <bk>
      <extLst>
        <ext uri="{3e2802c4-a4d2-4d8b-9148-e3be6c30e623}">
          <xlrd:rvb i="505"/>
        </ext>
      </extLst>
    </bk>
    <bk>
      <extLst>
        <ext uri="{3e2802c4-a4d2-4d8b-9148-e3be6c30e623}">
          <xlrd:rvb i="506"/>
        </ext>
      </extLst>
    </bk>
    <bk>
      <extLst>
        <ext uri="{3e2802c4-a4d2-4d8b-9148-e3be6c30e623}">
          <xlrd:rvb i="507"/>
        </ext>
      </extLst>
    </bk>
    <bk>
      <extLst>
        <ext uri="{3e2802c4-a4d2-4d8b-9148-e3be6c30e623}">
          <xlrd:rvb i="508"/>
        </ext>
      </extLst>
    </bk>
    <bk>
      <extLst>
        <ext uri="{3e2802c4-a4d2-4d8b-9148-e3be6c30e623}">
          <xlrd:rvb i="509"/>
        </ext>
      </extLst>
    </bk>
    <bk>
      <extLst>
        <ext uri="{3e2802c4-a4d2-4d8b-9148-e3be6c30e623}">
          <xlrd:rvb i="510"/>
        </ext>
      </extLst>
    </bk>
    <bk>
      <extLst>
        <ext uri="{3e2802c4-a4d2-4d8b-9148-e3be6c30e623}">
          <xlrd:rvb i="511"/>
        </ext>
      </extLst>
    </bk>
    <bk>
      <extLst>
        <ext uri="{3e2802c4-a4d2-4d8b-9148-e3be6c30e623}">
          <xlrd:rvb i="512"/>
        </ext>
      </extLst>
    </bk>
    <bk>
      <extLst>
        <ext uri="{3e2802c4-a4d2-4d8b-9148-e3be6c30e623}">
          <xlrd:rvb i="513"/>
        </ext>
      </extLst>
    </bk>
    <bk>
      <extLst>
        <ext uri="{3e2802c4-a4d2-4d8b-9148-e3be6c30e623}">
          <xlrd:rvb i="514"/>
        </ext>
      </extLst>
    </bk>
    <bk>
      <extLst>
        <ext uri="{3e2802c4-a4d2-4d8b-9148-e3be6c30e623}">
          <xlrd:rvb i="515"/>
        </ext>
      </extLst>
    </bk>
    <bk>
      <extLst>
        <ext uri="{3e2802c4-a4d2-4d8b-9148-e3be6c30e623}">
          <xlrd:rvb i="516"/>
        </ext>
      </extLst>
    </bk>
    <bk>
      <extLst>
        <ext uri="{3e2802c4-a4d2-4d8b-9148-e3be6c30e623}">
          <xlrd:rvb i="517"/>
        </ext>
      </extLst>
    </bk>
    <bk>
      <extLst>
        <ext uri="{3e2802c4-a4d2-4d8b-9148-e3be6c30e623}">
          <xlrd:rvb i="518"/>
        </ext>
      </extLst>
    </bk>
    <bk>
      <extLst>
        <ext uri="{3e2802c4-a4d2-4d8b-9148-e3be6c30e623}">
          <xlrd:rvb i="519"/>
        </ext>
      </extLst>
    </bk>
    <bk>
      <extLst>
        <ext uri="{3e2802c4-a4d2-4d8b-9148-e3be6c30e623}">
          <xlrd:rvb i="520"/>
        </ext>
      </extLst>
    </bk>
    <bk>
      <extLst>
        <ext uri="{3e2802c4-a4d2-4d8b-9148-e3be6c30e623}">
          <xlrd:rvb i="521"/>
        </ext>
      </extLst>
    </bk>
    <bk>
      <extLst>
        <ext uri="{3e2802c4-a4d2-4d8b-9148-e3be6c30e623}">
          <xlrd:rvb i="522"/>
        </ext>
      </extLst>
    </bk>
    <bk>
      <extLst>
        <ext uri="{3e2802c4-a4d2-4d8b-9148-e3be6c30e623}">
          <xlrd:rvb i="523"/>
        </ext>
      </extLst>
    </bk>
    <bk>
      <extLst>
        <ext uri="{3e2802c4-a4d2-4d8b-9148-e3be6c30e623}">
          <xlrd:rvb i="524"/>
        </ext>
      </extLst>
    </bk>
    <bk>
      <extLst>
        <ext uri="{3e2802c4-a4d2-4d8b-9148-e3be6c30e623}">
          <xlrd:rvb i="525"/>
        </ext>
      </extLst>
    </bk>
    <bk>
      <extLst>
        <ext uri="{3e2802c4-a4d2-4d8b-9148-e3be6c30e623}">
          <xlrd:rvb i="526"/>
        </ext>
      </extLst>
    </bk>
    <bk>
      <extLst>
        <ext uri="{3e2802c4-a4d2-4d8b-9148-e3be6c30e623}">
          <xlrd:rvb i="527"/>
        </ext>
      </extLst>
    </bk>
    <bk>
      <extLst>
        <ext uri="{3e2802c4-a4d2-4d8b-9148-e3be6c30e623}">
          <xlrd:rvb i="528"/>
        </ext>
      </extLst>
    </bk>
    <bk>
      <extLst>
        <ext uri="{3e2802c4-a4d2-4d8b-9148-e3be6c30e623}">
          <xlrd:rvb i="529"/>
        </ext>
      </extLst>
    </bk>
    <bk>
      <extLst>
        <ext uri="{3e2802c4-a4d2-4d8b-9148-e3be6c30e623}">
          <xlrd:rvb i="530"/>
        </ext>
      </extLst>
    </bk>
    <bk>
      <extLst>
        <ext uri="{3e2802c4-a4d2-4d8b-9148-e3be6c30e623}">
          <xlrd:rvb i="531"/>
        </ext>
      </extLst>
    </bk>
    <bk>
      <extLst>
        <ext uri="{3e2802c4-a4d2-4d8b-9148-e3be6c30e623}">
          <xlrd:rvb i="532"/>
        </ext>
      </extLst>
    </bk>
    <bk>
      <extLst>
        <ext uri="{3e2802c4-a4d2-4d8b-9148-e3be6c30e623}">
          <xlrd:rvb i="533"/>
        </ext>
      </extLst>
    </bk>
    <bk>
      <extLst>
        <ext uri="{3e2802c4-a4d2-4d8b-9148-e3be6c30e623}">
          <xlrd:rvb i="534"/>
        </ext>
      </extLst>
    </bk>
    <bk>
      <extLst>
        <ext uri="{3e2802c4-a4d2-4d8b-9148-e3be6c30e623}">
          <xlrd:rvb i="535"/>
        </ext>
      </extLst>
    </bk>
    <bk>
      <extLst>
        <ext uri="{3e2802c4-a4d2-4d8b-9148-e3be6c30e623}">
          <xlrd:rvb i="536"/>
        </ext>
      </extLst>
    </bk>
    <bk>
      <extLst>
        <ext uri="{3e2802c4-a4d2-4d8b-9148-e3be6c30e623}">
          <xlrd:rvb i="537"/>
        </ext>
      </extLst>
    </bk>
    <bk>
      <extLst>
        <ext uri="{3e2802c4-a4d2-4d8b-9148-e3be6c30e623}">
          <xlrd:rvb i="538"/>
        </ext>
      </extLst>
    </bk>
    <bk>
      <extLst>
        <ext uri="{3e2802c4-a4d2-4d8b-9148-e3be6c30e623}">
          <xlrd:rvb i="539"/>
        </ext>
      </extLst>
    </bk>
    <bk>
      <extLst>
        <ext uri="{3e2802c4-a4d2-4d8b-9148-e3be6c30e623}">
          <xlrd:rvb i="540"/>
        </ext>
      </extLst>
    </bk>
    <bk>
      <extLst>
        <ext uri="{3e2802c4-a4d2-4d8b-9148-e3be6c30e623}">
          <xlrd:rvb i="541"/>
        </ext>
      </extLst>
    </bk>
    <bk>
      <extLst>
        <ext uri="{3e2802c4-a4d2-4d8b-9148-e3be6c30e623}">
          <xlrd:rvb i="542"/>
        </ext>
      </extLst>
    </bk>
    <bk>
      <extLst>
        <ext uri="{3e2802c4-a4d2-4d8b-9148-e3be6c30e623}">
          <xlrd:rvb i="543"/>
        </ext>
      </extLst>
    </bk>
    <bk>
      <extLst>
        <ext uri="{3e2802c4-a4d2-4d8b-9148-e3be6c30e623}">
          <xlrd:rvb i="544"/>
        </ext>
      </extLst>
    </bk>
    <bk>
      <extLst>
        <ext uri="{3e2802c4-a4d2-4d8b-9148-e3be6c30e623}">
          <xlrd:rvb i="545"/>
        </ext>
      </extLst>
    </bk>
    <bk>
      <extLst>
        <ext uri="{3e2802c4-a4d2-4d8b-9148-e3be6c30e623}">
          <xlrd:rvb i="546"/>
        </ext>
      </extLst>
    </bk>
    <bk>
      <extLst>
        <ext uri="{3e2802c4-a4d2-4d8b-9148-e3be6c30e623}">
          <xlrd:rvb i="547"/>
        </ext>
      </extLst>
    </bk>
    <bk>
      <extLst>
        <ext uri="{3e2802c4-a4d2-4d8b-9148-e3be6c30e623}">
          <xlrd:rvb i="548"/>
        </ext>
      </extLst>
    </bk>
    <bk>
      <extLst>
        <ext uri="{3e2802c4-a4d2-4d8b-9148-e3be6c30e623}">
          <xlrd:rvb i="549"/>
        </ext>
      </extLst>
    </bk>
    <bk>
      <extLst>
        <ext uri="{3e2802c4-a4d2-4d8b-9148-e3be6c30e623}">
          <xlrd:rvb i="550"/>
        </ext>
      </extLst>
    </bk>
    <bk>
      <extLst>
        <ext uri="{3e2802c4-a4d2-4d8b-9148-e3be6c30e623}">
          <xlrd:rvb i="551"/>
        </ext>
      </extLst>
    </bk>
    <bk>
      <extLst>
        <ext uri="{3e2802c4-a4d2-4d8b-9148-e3be6c30e623}">
          <xlrd:rvb i="552"/>
        </ext>
      </extLst>
    </bk>
    <bk>
      <extLst>
        <ext uri="{3e2802c4-a4d2-4d8b-9148-e3be6c30e623}">
          <xlrd:rvb i="553"/>
        </ext>
      </extLst>
    </bk>
    <bk>
      <extLst>
        <ext uri="{3e2802c4-a4d2-4d8b-9148-e3be6c30e623}">
          <xlrd:rvb i="554"/>
        </ext>
      </extLst>
    </bk>
    <bk>
      <extLst>
        <ext uri="{3e2802c4-a4d2-4d8b-9148-e3be6c30e623}">
          <xlrd:rvb i="555"/>
        </ext>
      </extLst>
    </bk>
    <bk>
      <extLst>
        <ext uri="{3e2802c4-a4d2-4d8b-9148-e3be6c30e623}">
          <xlrd:rvb i="556"/>
        </ext>
      </extLst>
    </bk>
    <bk>
      <extLst>
        <ext uri="{3e2802c4-a4d2-4d8b-9148-e3be6c30e623}">
          <xlrd:rvb i="557"/>
        </ext>
      </extLst>
    </bk>
    <bk>
      <extLst>
        <ext uri="{3e2802c4-a4d2-4d8b-9148-e3be6c30e623}">
          <xlrd:rvb i="558"/>
        </ext>
      </extLst>
    </bk>
    <bk>
      <extLst>
        <ext uri="{3e2802c4-a4d2-4d8b-9148-e3be6c30e623}">
          <xlrd:rvb i="559"/>
        </ext>
      </extLst>
    </bk>
    <bk>
      <extLst>
        <ext uri="{3e2802c4-a4d2-4d8b-9148-e3be6c30e623}">
          <xlrd:rvb i="560"/>
        </ext>
      </extLst>
    </bk>
    <bk>
      <extLst>
        <ext uri="{3e2802c4-a4d2-4d8b-9148-e3be6c30e623}">
          <xlrd:rvb i="561"/>
        </ext>
      </extLst>
    </bk>
    <bk>
      <extLst>
        <ext uri="{3e2802c4-a4d2-4d8b-9148-e3be6c30e623}">
          <xlrd:rvb i="562"/>
        </ext>
      </extLst>
    </bk>
    <bk>
      <extLst>
        <ext uri="{3e2802c4-a4d2-4d8b-9148-e3be6c30e623}">
          <xlrd:rvb i="563"/>
        </ext>
      </extLst>
    </bk>
    <bk>
      <extLst>
        <ext uri="{3e2802c4-a4d2-4d8b-9148-e3be6c30e623}">
          <xlrd:rvb i="564"/>
        </ext>
      </extLst>
    </bk>
    <bk>
      <extLst>
        <ext uri="{3e2802c4-a4d2-4d8b-9148-e3be6c30e623}">
          <xlrd:rvb i="565"/>
        </ext>
      </extLst>
    </bk>
    <bk>
      <extLst>
        <ext uri="{3e2802c4-a4d2-4d8b-9148-e3be6c30e623}">
          <xlrd:rvb i="566"/>
        </ext>
      </extLst>
    </bk>
    <bk>
      <extLst>
        <ext uri="{3e2802c4-a4d2-4d8b-9148-e3be6c30e623}">
          <xlrd:rvb i="567"/>
        </ext>
      </extLst>
    </bk>
    <bk>
      <extLst>
        <ext uri="{3e2802c4-a4d2-4d8b-9148-e3be6c30e623}">
          <xlrd:rvb i="568"/>
        </ext>
      </extLst>
    </bk>
    <bk>
      <extLst>
        <ext uri="{3e2802c4-a4d2-4d8b-9148-e3be6c30e623}">
          <xlrd:rvb i="569"/>
        </ext>
      </extLst>
    </bk>
    <bk>
      <extLst>
        <ext uri="{3e2802c4-a4d2-4d8b-9148-e3be6c30e623}">
          <xlrd:rvb i="570"/>
        </ext>
      </extLst>
    </bk>
    <bk>
      <extLst>
        <ext uri="{3e2802c4-a4d2-4d8b-9148-e3be6c30e623}">
          <xlrd:rvb i="571"/>
        </ext>
      </extLst>
    </bk>
    <bk>
      <extLst>
        <ext uri="{3e2802c4-a4d2-4d8b-9148-e3be6c30e623}">
          <xlrd:rvb i="572"/>
        </ext>
      </extLst>
    </bk>
    <bk>
      <extLst>
        <ext uri="{3e2802c4-a4d2-4d8b-9148-e3be6c30e623}">
          <xlrd:rvb i="573"/>
        </ext>
      </extLst>
    </bk>
    <bk>
      <extLst>
        <ext uri="{3e2802c4-a4d2-4d8b-9148-e3be6c30e623}">
          <xlrd:rvb i="574"/>
        </ext>
      </extLst>
    </bk>
    <bk>
      <extLst>
        <ext uri="{3e2802c4-a4d2-4d8b-9148-e3be6c30e623}">
          <xlrd:rvb i="575"/>
        </ext>
      </extLst>
    </bk>
    <bk>
      <extLst>
        <ext uri="{3e2802c4-a4d2-4d8b-9148-e3be6c30e623}">
          <xlrd:rvb i="576"/>
        </ext>
      </extLst>
    </bk>
    <bk>
      <extLst>
        <ext uri="{3e2802c4-a4d2-4d8b-9148-e3be6c30e623}">
          <xlrd:rvb i="577"/>
        </ext>
      </extLst>
    </bk>
    <bk>
      <extLst>
        <ext uri="{3e2802c4-a4d2-4d8b-9148-e3be6c30e623}">
          <xlrd:rvb i="578"/>
        </ext>
      </extLst>
    </bk>
    <bk>
      <extLst>
        <ext uri="{3e2802c4-a4d2-4d8b-9148-e3be6c30e623}">
          <xlrd:rvb i="579"/>
        </ext>
      </extLst>
    </bk>
    <bk>
      <extLst>
        <ext uri="{3e2802c4-a4d2-4d8b-9148-e3be6c30e623}">
          <xlrd:rvb i="580"/>
        </ext>
      </extLst>
    </bk>
    <bk>
      <extLst>
        <ext uri="{3e2802c4-a4d2-4d8b-9148-e3be6c30e623}">
          <xlrd:rvb i="581"/>
        </ext>
      </extLst>
    </bk>
    <bk>
      <extLst>
        <ext uri="{3e2802c4-a4d2-4d8b-9148-e3be6c30e623}">
          <xlrd:rvb i="582"/>
        </ext>
      </extLst>
    </bk>
    <bk>
      <extLst>
        <ext uri="{3e2802c4-a4d2-4d8b-9148-e3be6c30e623}">
          <xlrd:rvb i="583"/>
        </ext>
      </extLst>
    </bk>
    <bk>
      <extLst>
        <ext uri="{3e2802c4-a4d2-4d8b-9148-e3be6c30e623}">
          <xlrd:rvb i="584"/>
        </ext>
      </extLst>
    </bk>
    <bk>
      <extLst>
        <ext uri="{3e2802c4-a4d2-4d8b-9148-e3be6c30e623}">
          <xlrd:rvb i="585"/>
        </ext>
      </extLst>
    </bk>
    <bk>
      <extLst>
        <ext uri="{3e2802c4-a4d2-4d8b-9148-e3be6c30e623}">
          <xlrd:rvb i="586"/>
        </ext>
      </extLst>
    </bk>
    <bk>
      <extLst>
        <ext uri="{3e2802c4-a4d2-4d8b-9148-e3be6c30e623}">
          <xlrd:rvb i="587"/>
        </ext>
      </extLst>
    </bk>
    <bk>
      <extLst>
        <ext uri="{3e2802c4-a4d2-4d8b-9148-e3be6c30e623}">
          <xlrd:rvb i="588"/>
        </ext>
      </extLst>
    </bk>
    <bk>
      <extLst>
        <ext uri="{3e2802c4-a4d2-4d8b-9148-e3be6c30e623}">
          <xlrd:rvb i="589"/>
        </ext>
      </extLst>
    </bk>
    <bk>
      <extLst>
        <ext uri="{3e2802c4-a4d2-4d8b-9148-e3be6c30e623}">
          <xlrd:rvb i="590"/>
        </ext>
      </extLst>
    </bk>
    <bk>
      <extLst>
        <ext uri="{3e2802c4-a4d2-4d8b-9148-e3be6c30e623}">
          <xlrd:rvb i="591"/>
        </ext>
      </extLst>
    </bk>
    <bk>
      <extLst>
        <ext uri="{3e2802c4-a4d2-4d8b-9148-e3be6c30e623}">
          <xlrd:rvb i="592"/>
        </ext>
      </extLst>
    </bk>
    <bk>
      <extLst>
        <ext uri="{3e2802c4-a4d2-4d8b-9148-e3be6c30e623}">
          <xlrd:rvb i="593"/>
        </ext>
      </extLst>
    </bk>
    <bk>
      <extLst>
        <ext uri="{3e2802c4-a4d2-4d8b-9148-e3be6c30e623}">
          <xlrd:rvb i="594"/>
        </ext>
      </extLst>
    </bk>
    <bk>
      <extLst>
        <ext uri="{3e2802c4-a4d2-4d8b-9148-e3be6c30e623}">
          <xlrd:rvb i="595"/>
        </ext>
      </extLst>
    </bk>
    <bk>
      <extLst>
        <ext uri="{3e2802c4-a4d2-4d8b-9148-e3be6c30e623}">
          <xlrd:rvb i="596"/>
        </ext>
      </extLst>
    </bk>
    <bk>
      <extLst>
        <ext uri="{3e2802c4-a4d2-4d8b-9148-e3be6c30e623}">
          <xlrd:rvb i="597"/>
        </ext>
      </extLst>
    </bk>
    <bk>
      <extLst>
        <ext uri="{3e2802c4-a4d2-4d8b-9148-e3be6c30e623}">
          <xlrd:rvb i="598"/>
        </ext>
      </extLst>
    </bk>
    <bk>
      <extLst>
        <ext uri="{3e2802c4-a4d2-4d8b-9148-e3be6c30e623}">
          <xlrd:rvb i="599"/>
        </ext>
      </extLst>
    </bk>
    <bk>
      <extLst>
        <ext uri="{3e2802c4-a4d2-4d8b-9148-e3be6c30e623}">
          <xlrd:rvb i="600"/>
        </ext>
      </extLst>
    </bk>
    <bk>
      <extLst>
        <ext uri="{3e2802c4-a4d2-4d8b-9148-e3be6c30e623}">
          <xlrd:rvb i="601"/>
        </ext>
      </extLst>
    </bk>
    <bk>
      <extLst>
        <ext uri="{3e2802c4-a4d2-4d8b-9148-e3be6c30e623}">
          <xlrd:rvb i="602"/>
        </ext>
      </extLst>
    </bk>
    <bk>
      <extLst>
        <ext uri="{3e2802c4-a4d2-4d8b-9148-e3be6c30e623}">
          <xlrd:rvb i="603"/>
        </ext>
      </extLst>
    </bk>
    <bk>
      <extLst>
        <ext uri="{3e2802c4-a4d2-4d8b-9148-e3be6c30e623}">
          <xlrd:rvb i="604"/>
        </ext>
      </extLst>
    </bk>
    <bk>
      <extLst>
        <ext uri="{3e2802c4-a4d2-4d8b-9148-e3be6c30e623}">
          <xlrd:rvb i="605"/>
        </ext>
      </extLst>
    </bk>
    <bk>
      <extLst>
        <ext uri="{3e2802c4-a4d2-4d8b-9148-e3be6c30e623}">
          <xlrd:rvb i="606"/>
        </ext>
      </extLst>
    </bk>
    <bk>
      <extLst>
        <ext uri="{3e2802c4-a4d2-4d8b-9148-e3be6c30e623}">
          <xlrd:rvb i="607"/>
        </ext>
      </extLst>
    </bk>
    <bk>
      <extLst>
        <ext uri="{3e2802c4-a4d2-4d8b-9148-e3be6c30e623}">
          <xlrd:rvb i="608"/>
        </ext>
      </extLst>
    </bk>
    <bk>
      <extLst>
        <ext uri="{3e2802c4-a4d2-4d8b-9148-e3be6c30e623}">
          <xlrd:rvb i="609"/>
        </ext>
      </extLst>
    </bk>
    <bk>
      <extLst>
        <ext uri="{3e2802c4-a4d2-4d8b-9148-e3be6c30e623}">
          <xlrd:rvb i="610"/>
        </ext>
      </extLst>
    </bk>
    <bk>
      <extLst>
        <ext uri="{3e2802c4-a4d2-4d8b-9148-e3be6c30e623}">
          <xlrd:rvb i="611"/>
        </ext>
      </extLst>
    </bk>
    <bk>
      <extLst>
        <ext uri="{3e2802c4-a4d2-4d8b-9148-e3be6c30e623}">
          <xlrd:rvb i="612"/>
        </ext>
      </extLst>
    </bk>
    <bk>
      <extLst>
        <ext uri="{3e2802c4-a4d2-4d8b-9148-e3be6c30e623}">
          <xlrd:rvb i="613"/>
        </ext>
      </extLst>
    </bk>
    <bk>
      <extLst>
        <ext uri="{3e2802c4-a4d2-4d8b-9148-e3be6c30e623}">
          <xlrd:rvb i="614"/>
        </ext>
      </extLst>
    </bk>
    <bk>
      <extLst>
        <ext uri="{3e2802c4-a4d2-4d8b-9148-e3be6c30e623}">
          <xlrd:rvb i="615"/>
        </ext>
      </extLst>
    </bk>
    <bk>
      <extLst>
        <ext uri="{3e2802c4-a4d2-4d8b-9148-e3be6c30e623}">
          <xlrd:rvb i="616"/>
        </ext>
      </extLst>
    </bk>
    <bk>
      <extLst>
        <ext uri="{3e2802c4-a4d2-4d8b-9148-e3be6c30e623}">
          <xlrd:rvb i="617"/>
        </ext>
      </extLst>
    </bk>
    <bk>
      <extLst>
        <ext uri="{3e2802c4-a4d2-4d8b-9148-e3be6c30e623}">
          <xlrd:rvb i="618"/>
        </ext>
      </extLst>
    </bk>
    <bk>
      <extLst>
        <ext uri="{3e2802c4-a4d2-4d8b-9148-e3be6c30e623}">
          <xlrd:rvb i="619"/>
        </ext>
      </extLst>
    </bk>
    <bk>
      <extLst>
        <ext uri="{3e2802c4-a4d2-4d8b-9148-e3be6c30e623}">
          <xlrd:rvb i="620"/>
        </ext>
      </extLst>
    </bk>
    <bk>
      <extLst>
        <ext uri="{3e2802c4-a4d2-4d8b-9148-e3be6c30e623}">
          <xlrd:rvb i="621"/>
        </ext>
      </extLst>
    </bk>
    <bk>
      <extLst>
        <ext uri="{3e2802c4-a4d2-4d8b-9148-e3be6c30e623}">
          <xlrd:rvb i="622"/>
        </ext>
      </extLst>
    </bk>
    <bk>
      <extLst>
        <ext uri="{3e2802c4-a4d2-4d8b-9148-e3be6c30e623}">
          <xlrd:rvb i="623"/>
        </ext>
      </extLst>
    </bk>
    <bk>
      <extLst>
        <ext uri="{3e2802c4-a4d2-4d8b-9148-e3be6c30e623}">
          <xlrd:rvb i="624"/>
        </ext>
      </extLst>
    </bk>
    <bk>
      <extLst>
        <ext uri="{3e2802c4-a4d2-4d8b-9148-e3be6c30e623}">
          <xlrd:rvb i="625"/>
        </ext>
      </extLst>
    </bk>
    <bk>
      <extLst>
        <ext uri="{3e2802c4-a4d2-4d8b-9148-e3be6c30e623}">
          <xlrd:rvb i="626"/>
        </ext>
      </extLst>
    </bk>
    <bk>
      <extLst>
        <ext uri="{3e2802c4-a4d2-4d8b-9148-e3be6c30e623}">
          <xlrd:rvb i="627"/>
        </ext>
      </extLst>
    </bk>
    <bk>
      <extLst>
        <ext uri="{3e2802c4-a4d2-4d8b-9148-e3be6c30e623}">
          <xlrd:rvb i="628"/>
        </ext>
      </extLst>
    </bk>
    <bk>
      <extLst>
        <ext uri="{3e2802c4-a4d2-4d8b-9148-e3be6c30e623}">
          <xlrd:rvb i="629"/>
        </ext>
      </extLst>
    </bk>
    <bk>
      <extLst>
        <ext uri="{3e2802c4-a4d2-4d8b-9148-e3be6c30e623}">
          <xlrd:rvb i="630"/>
        </ext>
      </extLst>
    </bk>
    <bk>
      <extLst>
        <ext uri="{3e2802c4-a4d2-4d8b-9148-e3be6c30e623}">
          <xlrd:rvb i="631"/>
        </ext>
      </extLst>
    </bk>
    <bk>
      <extLst>
        <ext uri="{3e2802c4-a4d2-4d8b-9148-e3be6c30e623}">
          <xlrd:rvb i="632"/>
        </ext>
      </extLst>
    </bk>
    <bk>
      <extLst>
        <ext uri="{3e2802c4-a4d2-4d8b-9148-e3be6c30e623}">
          <xlrd:rvb i="633"/>
        </ext>
      </extLst>
    </bk>
    <bk>
      <extLst>
        <ext uri="{3e2802c4-a4d2-4d8b-9148-e3be6c30e623}">
          <xlrd:rvb i="634"/>
        </ext>
      </extLst>
    </bk>
    <bk>
      <extLst>
        <ext uri="{3e2802c4-a4d2-4d8b-9148-e3be6c30e623}">
          <xlrd:rvb i="635"/>
        </ext>
      </extLst>
    </bk>
    <bk>
      <extLst>
        <ext uri="{3e2802c4-a4d2-4d8b-9148-e3be6c30e623}">
          <xlrd:rvb i="636"/>
        </ext>
      </extLst>
    </bk>
    <bk>
      <extLst>
        <ext uri="{3e2802c4-a4d2-4d8b-9148-e3be6c30e623}">
          <xlrd:rvb i="637"/>
        </ext>
      </extLst>
    </bk>
    <bk>
      <extLst>
        <ext uri="{3e2802c4-a4d2-4d8b-9148-e3be6c30e623}">
          <xlrd:rvb i="638"/>
        </ext>
      </extLst>
    </bk>
    <bk>
      <extLst>
        <ext uri="{3e2802c4-a4d2-4d8b-9148-e3be6c30e623}">
          <xlrd:rvb i="639"/>
        </ext>
      </extLst>
    </bk>
    <bk>
      <extLst>
        <ext uri="{3e2802c4-a4d2-4d8b-9148-e3be6c30e623}">
          <xlrd:rvb i="640"/>
        </ext>
      </extLst>
    </bk>
    <bk>
      <extLst>
        <ext uri="{3e2802c4-a4d2-4d8b-9148-e3be6c30e623}">
          <xlrd:rvb i="641"/>
        </ext>
      </extLst>
    </bk>
    <bk>
      <extLst>
        <ext uri="{3e2802c4-a4d2-4d8b-9148-e3be6c30e623}">
          <xlrd:rvb i="642"/>
        </ext>
      </extLst>
    </bk>
    <bk>
      <extLst>
        <ext uri="{3e2802c4-a4d2-4d8b-9148-e3be6c30e623}">
          <xlrd:rvb i="643"/>
        </ext>
      </extLst>
    </bk>
    <bk>
      <extLst>
        <ext uri="{3e2802c4-a4d2-4d8b-9148-e3be6c30e623}">
          <xlrd:rvb i="644"/>
        </ext>
      </extLst>
    </bk>
    <bk>
      <extLst>
        <ext uri="{3e2802c4-a4d2-4d8b-9148-e3be6c30e623}">
          <xlrd:rvb i="645"/>
        </ext>
      </extLst>
    </bk>
    <bk>
      <extLst>
        <ext uri="{3e2802c4-a4d2-4d8b-9148-e3be6c30e623}">
          <xlrd:rvb i="646"/>
        </ext>
      </extLst>
    </bk>
    <bk>
      <extLst>
        <ext uri="{3e2802c4-a4d2-4d8b-9148-e3be6c30e623}">
          <xlrd:rvb i="647"/>
        </ext>
      </extLst>
    </bk>
    <bk>
      <extLst>
        <ext uri="{3e2802c4-a4d2-4d8b-9148-e3be6c30e623}">
          <xlrd:rvb i="648"/>
        </ext>
      </extLst>
    </bk>
    <bk>
      <extLst>
        <ext uri="{3e2802c4-a4d2-4d8b-9148-e3be6c30e623}">
          <xlrd:rvb i="649"/>
        </ext>
      </extLst>
    </bk>
    <bk>
      <extLst>
        <ext uri="{3e2802c4-a4d2-4d8b-9148-e3be6c30e623}">
          <xlrd:rvb i="650"/>
        </ext>
      </extLst>
    </bk>
    <bk>
      <extLst>
        <ext uri="{3e2802c4-a4d2-4d8b-9148-e3be6c30e623}">
          <xlrd:rvb i="651"/>
        </ext>
      </extLst>
    </bk>
    <bk>
      <extLst>
        <ext uri="{3e2802c4-a4d2-4d8b-9148-e3be6c30e623}">
          <xlrd:rvb i="652"/>
        </ext>
      </extLst>
    </bk>
    <bk>
      <extLst>
        <ext uri="{3e2802c4-a4d2-4d8b-9148-e3be6c30e623}">
          <xlrd:rvb i="653"/>
        </ext>
      </extLst>
    </bk>
    <bk>
      <extLst>
        <ext uri="{3e2802c4-a4d2-4d8b-9148-e3be6c30e623}">
          <xlrd:rvb i="654"/>
        </ext>
      </extLst>
    </bk>
    <bk>
      <extLst>
        <ext uri="{3e2802c4-a4d2-4d8b-9148-e3be6c30e623}">
          <xlrd:rvb i="655"/>
        </ext>
      </extLst>
    </bk>
    <bk>
      <extLst>
        <ext uri="{3e2802c4-a4d2-4d8b-9148-e3be6c30e623}">
          <xlrd:rvb i="656"/>
        </ext>
      </extLst>
    </bk>
    <bk>
      <extLst>
        <ext uri="{3e2802c4-a4d2-4d8b-9148-e3be6c30e623}">
          <xlrd:rvb i="657"/>
        </ext>
      </extLst>
    </bk>
    <bk>
      <extLst>
        <ext uri="{3e2802c4-a4d2-4d8b-9148-e3be6c30e623}">
          <xlrd:rvb i="658"/>
        </ext>
      </extLst>
    </bk>
    <bk>
      <extLst>
        <ext uri="{3e2802c4-a4d2-4d8b-9148-e3be6c30e623}">
          <xlrd:rvb i="659"/>
        </ext>
      </extLst>
    </bk>
    <bk>
      <extLst>
        <ext uri="{3e2802c4-a4d2-4d8b-9148-e3be6c30e623}">
          <xlrd:rvb i="660"/>
        </ext>
      </extLst>
    </bk>
    <bk>
      <extLst>
        <ext uri="{3e2802c4-a4d2-4d8b-9148-e3be6c30e623}">
          <xlrd:rvb i="661"/>
        </ext>
      </extLst>
    </bk>
    <bk>
      <extLst>
        <ext uri="{3e2802c4-a4d2-4d8b-9148-e3be6c30e623}">
          <xlrd:rvb i="662"/>
        </ext>
      </extLst>
    </bk>
    <bk>
      <extLst>
        <ext uri="{3e2802c4-a4d2-4d8b-9148-e3be6c30e623}">
          <xlrd:rvb i="663"/>
        </ext>
      </extLst>
    </bk>
    <bk>
      <extLst>
        <ext uri="{3e2802c4-a4d2-4d8b-9148-e3be6c30e623}">
          <xlrd:rvb i="664"/>
        </ext>
      </extLst>
    </bk>
    <bk>
      <extLst>
        <ext uri="{3e2802c4-a4d2-4d8b-9148-e3be6c30e623}">
          <xlrd:rvb i="665"/>
        </ext>
      </extLst>
    </bk>
    <bk>
      <extLst>
        <ext uri="{3e2802c4-a4d2-4d8b-9148-e3be6c30e623}">
          <xlrd:rvb i="666"/>
        </ext>
      </extLst>
    </bk>
    <bk>
      <extLst>
        <ext uri="{3e2802c4-a4d2-4d8b-9148-e3be6c30e623}">
          <xlrd:rvb i="667"/>
        </ext>
      </extLst>
    </bk>
    <bk>
      <extLst>
        <ext uri="{3e2802c4-a4d2-4d8b-9148-e3be6c30e623}">
          <xlrd:rvb i="668"/>
        </ext>
      </extLst>
    </bk>
    <bk>
      <extLst>
        <ext uri="{3e2802c4-a4d2-4d8b-9148-e3be6c30e623}">
          <xlrd:rvb i="669"/>
        </ext>
      </extLst>
    </bk>
    <bk>
      <extLst>
        <ext uri="{3e2802c4-a4d2-4d8b-9148-e3be6c30e623}">
          <xlrd:rvb i="670"/>
        </ext>
      </extLst>
    </bk>
    <bk>
      <extLst>
        <ext uri="{3e2802c4-a4d2-4d8b-9148-e3be6c30e623}">
          <xlrd:rvb i="671"/>
        </ext>
      </extLst>
    </bk>
    <bk>
      <extLst>
        <ext uri="{3e2802c4-a4d2-4d8b-9148-e3be6c30e623}">
          <xlrd:rvb i="672"/>
        </ext>
      </extLst>
    </bk>
    <bk>
      <extLst>
        <ext uri="{3e2802c4-a4d2-4d8b-9148-e3be6c30e623}">
          <xlrd:rvb i="673"/>
        </ext>
      </extLst>
    </bk>
    <bk>
      <extLst>
        <ext uri="{3e2802c4-a4d2-4d8b-9148-e3be6c30e623}">
          <xlrd:rvb i="674"/>
        </ext>
      </extLst>
    </bk>
    <bk>
      <extLst>
        <ext uri="{3e2802c4-a4d2-4d8b-9148-e3be6c30e623}">
          <xlrd:rvb i="675"/>
        </ext>
      </extLst>
    </bk>
    <bk>
      <extLst>
        <ext uri="{3e2802c4-a4d2-4d8b-9148-e3be6c30e623}">
          <xlrd:rvb i="676"/>
        </ext>
      </extLst>
    </bk>
    <bk>
      <extLst>
        <ext uri="{3e2802c4-a4d2-4d8b-9148-e3be6c30e623}">
          <xlrd:rvb i="677"/>
        </ext>
      </extLst>
    </bk>
    <bk>
      <extLst>
        <ext uri="{3e2802c4-a4d2-4d8b-9148-e3be6c30e623}">
          <xlrd:rvb i="678"/>
        </ext>
      </extLst>
    </bk>
    <bk>
      <extLst>
        <ext uri="{3e2802c4-a4d2-4d8b-9148-e3be6c30e623}">
          <xlrd:rvb i="679"/>
        </ext>
      </extLst>
    </bk>
    <bk>
      <extLst>
        <ext uri="{3e2802c4-a4d2-4d8b-9148-e3be6c30e623}">
          <xlrd:rvb i="680"/>
        </ext>
      </extLst>
    </bk>
    <bk>
      <extLst>
        <ext uri="{3e2802c4-a4d2-4d8b-9148-e3be6c30e623}">
          <xlrd:rvb i="681"/>
        </ext>
      </extLst>
    </bk>
    <bk>
      <extLst>
        <ext uri="{3e2802c4-a4d2-4d8b-9148-e3be6c30e623}">
          <xlrd:rvb i="682"/>
        </ext>
      </extLst>
    </bk>
    <bk>
      <extLst>
        <ext uri="{3e2802c4-a4d2-4d8b-9148-e3be6c30e623}">
          <xlrd:rvb i="683"/>
        </ext>
      </extLst>
    </bk>
    <bk>
      <extLst>
        <ext uri="{3e2802c4-a4d2-4d8b-9148-e3be6c30e623}">
          <xlrd:rvb i="684"/>
        </ext>
      </extLst>
    </bk>
    <bk>
      <extLst>
        <ext uri="{3e2802c4-a4d2-4d8b-9148-e3be6c30e623}">
          <xlrd:rvb i="685"/>
        </ext>
      </extLst>
    </bk>
    <bk>
      <extLst>
        <ext uri="{3e2802c4-a4d2-4d8b-9148-e3be6c30e623}">
          <xlrd:rvb i="686"/>
        </ext>
      </extLst>
    </bk>
    <bk>
      <extLst>
        <ext uri="{3e2802c4-a4d2-4d8b-9148-e3be6c30e623}">
          <xlrd:rvb i="687"/>
        </ext>
      </extLst>
    </bk>
    <bk>
      <extLst>
        <ext uri="{3e2802c4-a4d2-4d8b-9148-e3be6c30e623}">
          <xlrd:rvb i="688"/>
        </ext>
      </extLst>
    </bk>
    <bk>
      <extLst>
        <ext uri="{3e2802c4-a4d2-4d8b-9148-e3be6c30e623}">
          <xlrd:rvb i="689"/>
        </ext>
      </extLst>
    </bk>
    <bk>
      <extLst>
        <ext uri="{3e2802c4-a4d2-4d8b-9148-e3be6c30e623}">
          <xlrd:rvb i="690"/>
        </ext>
      </extLst>
    </bk>
    <bk>
      <extLst>
        <ext uri="{3e2802c4-a4d2-4d8b-9148-e3be6c30e623}">
          <xlrd:rvb i="691"/>
        </ext>
      </extLst>
    </bk>
    <bk>
      <extLst>
        <ext uri="{3e2802c4-a4d2-4d8b-9148-e3be6c30e623}">
          <xlrd:rvb i="692"/>
        </ext>
      </extLst>
    </bk>
    <bk>
      <extLst>
        <ext uri="{3e2802c4-a4d2-4d8b-9148-e3be6c30e623}">
          <xlrd:rvb i="693"/>
        </ext>
      </extLst>
    </bk>
    <bk>
      <extLst>
        <ext uri="{3e2802c4-a4d2-4d8b-9148-e3be6c30e623}">
          <xlrd:rvb i="694"/>
        </ext>
      </extLst>
    </bk>
    <bk>
      <extLst>
        <ext uri="{3e2802c4-a4d2-4d8b-9148-e3be6c30e623}">
          <xlrd:rvb i="695"/>
        </ext>
      </extLst>
    </bk>
    <bk>
      <extLst>
        <ext uri="{3e2802c4-a4d2-4d8b-9148-e3be6c30e623}">
          <xlrd:rvb i="696"/>
        </ext>
      </extLst>
    </bk>
    <bk>
      <extLst>
        <ext uri="{3e2802c4-a4d2-4d8b-9148-e3be6c30e623}">
          <xlrd:rvb i="697"/>
        </ext>
      </extLst>
    </bk>
    <bk>
      <extLst>
        <ext uri="{3e2802c4-a4d2-4d8b-9148-e3be6c30e623}">
          <xlrd:rvb i="698"/>
        </ext>
      </extLst>
    </bk>
    <bk>
      <extLst>
        <ext uri="{3e2802c4-a4d2-4d8b-9148-e3be6c30e623}">
          <xlrd:rvb i="699"/>
        </ext>
      </extLst>
    </bk>
    <bk>
      <extLst>
        <ext uri="{3e2802c4-a4d2-4d8b-9148-e3be6c30e623}">
          <xlrd:rvb i="700"/>
        </ext>
      </extLst>
    </bk>
    <bk>
      <extLst>
        <ext uri="{3e2802c4-a4d2-4d8b-9148-e3be6c30e623}">
          <xlrd:rvb i="701"/>
        </ext>
      </extLst>
    </bk>
    <bk>
      <extLst>
        <ext uri="{3e2802c4-a4d2-4d8b-9148-e3be6c30e623}">
          <xlrd:rvb i="702"/>
        </ext>
      </extLst>
    </bk>
    <bk>
      <extLst>
        <ext uri="{3e2802c4-a4d2-4d8b-9148-e3be6c30e623}">
          <xlrd:rvb i="703"/>
        </ext>
      </extLst>
    </bk>
    <bk>
      <extLst>
        <ext uri="{3e2802c4-a4d2-4d8b-9148-e3be6c30e623}">
          <xlrd:rvb i="704"/>
        </ext>
      </extLst>
    </bk>
    <bk>
      <extLst>
        <ext uri="{3e2802c4-a4d2-4d8b-9148-e3be6c30e623}">
          <xlrd:rvb i="705"/>
        </ext>
      </extLst>
    </bk>
    <bk>
      <extLst>
        <ext uri="{3e2802c4-a4d2-4d8b-9148-e3be6c30e623}">
          <xlrd:rvb i="706"/>
        </ext>
      </extLst>
    </bk>
    <bk>
      <extLst>
        <ext uri="{3e2802c4-a4d2-4d8b-9148-e3be6c30e623}">
          <xlrd:rvb i="707"/>
        </ext>
      </extLst>
    </bk>
    <bk>
      <extLst>
        <ext uri="{3e2802c4-a4d2-4d8b-9148-e3be6c30e623}">
          <xlrd:rvb i="708"/>
        </ext>
      </extLst>
    </bk>
    <bk>
      <extLst>
        <ext uri="{3e2802c4-a4d2-4d8b-9148-e3be6c30e623}">
          <xlrd:rvb i="709"/>
        </ext>
      </extLst>
    </bk>
    <bk>
      <extLst>
        <ext uri="{3e2802c4-a4d2-4d8b-9148-e3be6c30e623}">
          <xlrd:rvb i="710"/>
        </ext>
      </extLst>
    </bk>
    <bk>
      <extLst>
        <ext uri="{3e2802c4-a4d2-4d8b-9148-e3be6c30e623}">
          <xlrd:rvb i="711"/>
        </ext>
      </extLst>
    </bk>
    <bk>
      <extLst>
        <ext uri="{3e2802c4-a4d2-4d8b-9148-e3be6c30e623}">
          <xlrd:rvb i="712"/>
        </ext>
      </extLst>
    </bk>
    <bk>
      <extLst>
        <ext uri="{3e2802c4-a4d2-4d8b-9148-e3be6c30e623}">
          <xlrd:rvb i="713"/>
        </ext>
      </extLst>
    </bk>
    <bk>
      <extLst>
        <ext uri="{3e2802c4-a4d2-4d8b-9148-e3be6c30e623}">
          <xlrd:rvb i="714"/>
        </ext>
      </extLst>
    </bk>
    <bk>
      <extLst>
        <ext uri="{3e2802c4-a4d2-4d8b-9148-e3be6c30e623}">
          <xlrd:rvb i="715"/>
        </ext>
      </extLst>
    </bk>
    <bk>
      <extLst>
        <ext uri="{3e2802c4-a4d2-4d8b-9148-e3be6c30e623}">
          <xlrd:rvb i="716"/>
        </ext>
      </extLst>
    </bk>
    <bk>
      <extLst>
        <ext uri="{3e2802c4-a4d2-4d8b-9148-e3be6c30e623}">
          <xlrd:rvb i="717"/>
        </ext>
      </extLst>
    </bk>
    <bk>
      <extLst>
        <ext uri="{3e2802c4-a4d2-4d8b-9148-e3be6c30e623}">
          <xlrd:rvb i="718"/>
        </ext>
      </extLst>
    </bk>
    <bk>
      <extLst>
        <ext uri="{3e2802c4-a4d2-4d8b-9148-e3be6c30e623}">
          <xlrd:rvb i="719"/>
        </ext>
      </extLst>
    </bk>
    <bk>
      <extLst>
        <ext uri="{3e2802c4-a4d2-4d8b-9148-e3be6c30e623}">
          <xlrd:rvb i="720"/>
        </ext>
      </extLst>
    </bk>
    <bk>
      <extLst>
        <ext uri="{3e2802c4-a4d2-4d8b-9148-e3be6c30e623}">
          <xlrd:rvb i="721"/>
        </ext>
      </extLst>
    </bk>
    <bk>
      <extLst>
        <ext uri="{3e2802c4-a4d2-4d8b-9148-e3be6c30e623}">
          <xlrd:rvb i="722"/>
        </ext>
      </extLst>
    </bk>
    <bk>
      <extLst>
        <ext uri="{3e2802c4-a4d2-4d8b-9148-e3be6c30e623}">
          <xlrd:rvb i="723"/>
        </ext>
      </extLst>
    </bk>
    <bk>
      <extLst>
        <ext uri="{3e2802c4-a4d2-4d8b-9148-e3be6c30e623}">
          <xlrd:rvb i="724"/>
        </ext>
      </extLst>
    </bk>
    <bk>
      <extLst>
        <ext uri="{3e2802c4-a4d2-4d8b-9148-e3be6c30e623}">
          <xlrd:rvb i="725"/>
        </ext>
      </extLst>
    </bk>
    <bk>
      <extLst>
        <ext uri="{3e2802c4-a4d2-4d8b-9148-e3be6c30e623}">
          <xlrd:rvb i="726"/>
        </ext>
      </extLst>
    </bk>
    <bk>
      <extLst>
        <ext uri="{3e2802c4-a4d2-4d8b-9148-e3be6c30e623}">
          <xlrd:rvb i="727"/>
        </ext>
      </extLst>
    </bk>
    <bk>
      <extLst>
        <ext uri="{3e2802c4-a4d2-4d8b-9148-e3be6c30e623}">
          <xlrd:rvb i="728"/>
        </ext>
      </extLst>
    </bk>
    <bk>
      <extLst>
        <ext uri="{3e2802c4-a4d2-4d8b-9148-e3be6c30e623}">
          <xlrd:rvb i="729"/>
        </ext>
      </extLst>
    </bk>
    <bk>
      <extLst>
        <ext uri="{3e2802c4-a4d2-4d8b-9148-e3be6c30e623}">
          <xlrd:rvb i="730"/>
        </ext>
      </extLst>
    </bk>
    <bk>
      <extLst>
        <ext uri="{3e2802c4-a4d2-4d8b-9148-e3be6c30e623}">
          <xlrd:rvb i="731"/>
        </ext>
      </extLst>
    </bk>
    <bk>
      <extLst>
        <ext uri="{3e2802c4-a4d2-4d8b-9148-e3be6c30e623}">
          <xlrd:rvb i="732"/>
        </ext>
      </extLst>
    </bk>
    <bk>
      <extLst>
        <ext uri="{3e2802c4-a4d2-4d8b-9148-e3be6c30e623}">
          <xlrd:rvb i="733"/>
        </ext>
      </extLst>
    </bk>
    <bk>
      <extLst>
        <ext uri="{3e2802c4-a4d2-4d8b-9148-e3be6c30e623}">
          <xlrd:rvb i="734"/>
        </ext>
      </extLst>
    </bk>
    <bk>
      <extLst>
        <ext uri="{3e2802c4-a4d2-4d8b-9148-e3be6c30e623}">
          <xlrd:rvb i="735"/>
        </ext>
      </extLst>
    </bk>
    <bk>
      <extLst>
        <ext uri="{3e2802c4-a4d2-4d8b-9148-e3be6c30e623}">
          <xlrd:rvb i="736"/>
        </ext>
      </extLst>
    </bk>
    <bk>
      <extLst>
        <ext uri="{3e2802c4-a4d2-4d8b-9148-e3be6c30e623}">
          <xlrd:rvb i="737"/>
        </ext>
      </extLst>
    </bk>
    <bk>
      <extLst>
        <ext uri="{3e2802c4-a4d2-4d8b-9148-e3be6c30e623}">
          <xlrd:rvb i="738"/>
        </ext>
      </extLst>
    </bk>
    <bk>
      <extLst>
        <ext uri="{3e2802c4-a4d2-4d8b-9148-e3be6c30e623}">
          <xlrd:rvb i="739"/>
        </ext>
      </extLst>
    </bk>
    <bk>
      <extLst>
        <ext uri="{3e2802c4-a4d2-4d8b-9148-e3be6c30e623}">
          <xlrd:rvb i="740"/>
        </ext>
      </extLst>
    </bk>
    <bk>
      <extLst>
        <ext uri="{3e2802c4-a4d2-4d8b-9148-e3be6c30e623}">
          <xlrd:rvb i="741"/>
        </ext>
      </extLst>
    </bk>
    <bk>
      <extLst>
        <ext uri="{3e2802c4-a4d2-4d8b-9148-e3be6c30e623}">
          <xlrd:rvb i="742"/>
        </ext>
      </extLst>
    </bk>
    <bk>
      <extLst>
        <ext uri="{3e2802c4-a4d2-4d8b-9148-e3be6c30e623}">
          <xlrd:rvb i="743"/>
        </ext>
      </extLst>
    </bk>
    <bk>
      <extLst>
        <ext uri="{3e2802c4-a4d2-4d8b-9148-e3be6c30e623}">
          <xlrd:rvb i="744"/>
        </ext>
      </extLst>
    </bk>
    <bk>
      <extLst>
        <ext uri="{3e2802c4-a4d2-4d8b-9148-e3be6c30e623}">
          <xlrd:rvb i="745"/>
        </ext>
      </extLst>
    </bk>
    <bk>
      <extLst>
        <ext uri="{3e2802c4-a4d2-4d8b-9148-e3be6c30e623}">
          <xlrd:rvb i="746"/>
        </ext>
      </extLst>
    </bk>
    <bk>
      <extLst>
        <ext uri="{3e2802c4-a4d2-4d8b-9148-e3be6c30e623}">
          <xlrd:rvb i="747"/>
        </ext>
      </extLst>
    </bk>
    <bk>
      <extLst>
        <ext uri="{3e2802c4-a4d2-4d8b-9148-e3be6c30e623}">
          <xlrd:rvb i="748"/>
        </ext>
      </extLst>
    </bk>
    <bk>
      <extLst>
        <ext uri="{3e2802c4-a4d2-4d8b-9148-e3be6c30e623}">
          <xlrd:rvb i="749"/>
        </ext>
      </extLst>
    </bk>
    <bk>
      <extLst>
        <ext uri="{3e2802c4-a4d2-4d8b-9148-e3be6c30e623}">
          <xlrd:rvb i="750"/>
        </ext>
      </extLst>
    </bk>
    <bk>
      <extLst>
        <ext uri="{3e2802c4-a4d2-4d8b-9148-e3be6c30e623}">
          <xlrd:rvb i="751"/>
        </ext>
      </extLst>
    </bk>
    <bk>
      <extLst>
        <ext uri="{3e2802c4-a4d2-4d8b-9148-e3be6c30e623}">
          <xlrd:rvb i="752"/>
        </ext>
      </extLst>
    </bk>
    <bk>
      <extLst>
        <ext uri="{3e2802c4-a4d2-4d8b-9148-e3be6c30e623}">
          <xlrd:rvb i="753"/>
        </ext>
      </extLst>
    </bk>
    <bk>
      <extLst>
        <ext uri="{3e2802c4-a4d2-4d8b-9148-e3be6c30e623}">
          <xlrd:rvb i="754"/>
        </ext>
      </extLst>
    </bk>
    <bk>
      <extLst>
        <ext uri="{3e2802c4-a4d2-4d8b-9148-e3be6c30e623}">
          <xlrd:rvb i="755"/>
        </ext>
      </extLst>
    </bk>
    <bk>
      <extLst>
        <ext uri="{3e2802c4-a4d2-4d8b-9148-e3be6c30e623}">
          <xlrd:rvb i="756"/>
        </ext>
      </extLst>
    </bk>
    <bk>
      <extLst>
        <ext uri="{3e2802c4-a4d2-4d8b-9148-e3be6c30e623}">
          <xlrd:rvb i="757"/>
        </ext>
      </extLst>
    </bk>
    <bk>
      <extLst>
        <ext uri="{3e2802c4-a4d2-4d8b-9148-e3be6c30e623}">
          <xlrd:rvb i="758"/>
        </ext>
      </extLst>
    </bk>
    <bk>
      <extLst>
        <ext uri="{3e2802c4-a4d2-4d8b-9148-e3be6c30e623}">
          <xlrd:rvb i="759"/>
        </ext>
      </extLst>
    </bk>
    <bk>
      <extLst>
        <ext uri="{3e2802c4-a4d2-4d8b-9148-e3be6c30e623}">
          <xlrd:rvb i="760"/>
        </ext>
      </extLst>
    </bk>
    <bk>
      <extLst>
        <ext uri="{3e2802c4-a4d2-4d8b-9148-e3be6c30e623}">
          <xlrd:rvb i="761"/>
        </ext>
      </extLst>
    </bk>
    <bk>
      <extLst>
        <ext uri="{3e2802c4-a4d2-4d8b-9148-e3be6c30e623}">
          <xlrd:rvb i="762"/>
        </ext>
      </extLst>
    </bk>
    <bk>
      <extLst>
        <ext uri="{3e2802c4-a4d2-4d8b-9148-e3be6c30e623}">
          <xlrd:rvb i="763"/>
        </ext>
      </extLst>
    </bk>
    <bk>
      <extLst>
        <ext uri="{3e2802c4-a4d2-4d8b-9148-e3be6c30e623}">
          <xlrd:rvb i="764"/>
        </ext>
      </extLst>
    </bk>
    <bk>
      <extLst>
        <ext uri="{3e2802c4-a4d2-4d8b-9148-e3be6c30e623}">
          <xlrd:rvb i="765"/>
        </ext>
      </extLst>
    </bk>
    <bk>
      <extLst>
        <ext uri="{3e2802c4-a4d2-4d8b-9148-e3be6c30e623}">
          <xlrd:rvb i="766"/>
        </ext>
      </extLst>
    </bk>
    <bk>
      <extLst>
        <ext uri="{3e2802c4-a4d2-4d8b-9148-e3be6c30e623}">
          <xlrd:rvb i="767"/>
        </ext>
      </extLst>
    </bk>
    <bk>
      <extLst>
        <ext uri="{3e2802c4-a4d2-4d8b-9148-e3be6c30e623}">
          <xlrd:rvb i="768"/>
        </ext>
      </extLst>
    </bk>
    <bk>
      <extLst>
        <ext uri="{3e2802c4-a4d2-4d8b-9148-e3be6c30e623}">
          <xlrd:rvb i="769"/>
        </ext>
      </extLst>
    </bk>
    <bk>
      <extLst>
        <ext uri="{3e2802c4-a4d2-4d8b-9148-e3be6c30e623}">
          <xlrd:rvb i="770"/>
        </ext>
      </extLst>
    </bk>
    <bk>
      <extLst>
        <ext uri="{3e2802c4-a4d2-4d8b-9148-e3be6c30e623}">
          <xlrd:rvb i="771"/>
        </ext>
      </extLst>
    </bk>
    <bk>
      <extLst>
        <ext uri="{3e2802c4-a4d2-4d8b-9148-e3be6c30e623}">
          <xlrd:rvb i="772"/>
        </ext>
      </extLst>
    </bk>
    <bk>
      <extLst>
        <ext uri="{3e2802c4-a4d2-4d8b-9148-e3be6c30e623}">
          <xlrd:rvb i="773"/>
        </ext>
      </extLst>
    </bk>
    <bk>
      <extLst>
        <ext uri="{3e2802c4-a4d2-4d8b-9148-e3be6c30e623}">
          <xlrd:rvb i="774"/>
        </ext>
      </extLst>
    </bk>
    <bk>
      <extLst>
        <ext uri="{3e2802c4-a4d2-4d8b-9148-e3be6c30e623}">
          <xlrd:rvb i="775"/>
        </ext>
      </extLst>
    </bk>
    <bk>
      <extLst>
        <ext uri="{3e2802c4-a4d2-4d8b-9148-e3be6c30e623}">
          <xlrd:rvb i="776"/>
        </ext>
      </extLst>
    </bk>
    <bk>
      <extLst>
        <ext uri="{3e2802c4-a4d2-4d8b-9148-e3be6c30e623}">
          <xlrd:rvb i="777"/>
        </ext>
      </extLst>
    </bk>
    <bk>
      <extLst>
        <ext uri="{3e2802c4-a4d2-4d8b-9148-e3be6c30e623}">
          <xlrd:rvb i="778"/>
        </ext>
      </extLst>
    </bk>
    <bk>
      <extLst>
        <ext uri="{3e2802c4-a4d2-4d8b-9148-e3be6c30e623}">
          <xlrd:rvb i="779"/>
        </ext>
      </extLst>
    </bk>
    <bk>
      <extLst>
        <ext uri="{3e2802c4-a4d2-4d8b-9148-e3be6c30e623}">
          <xlrd:rvb i="780"/>
        </ext>
      </extLst>
    </bk>
    <bk>
      <extLst>
        <ext uri="{3e2802c4-a4d2-4d8b-9148-e3be6c30e623}">
          <xlrd:rvb i="781"/>
        </ext>
      </extLst>
    </bk>
    <bk>
      <extLst>
        <ext uri="{3e2802c4-a4d2-4d8b-9148-e3be6c30e623}">
          <xlrd:rvb i="782"/>
        </ext>
      </extLst>
    </bk>
    <bk>
      <extLst>
        <ext uri="{3e2802c4-a4d2-4d8b-9148-e3be6c30e623}">
          <xlrd:rvb i="783"/>
        </ext>
      </extLst>
    </bk>
    <bk>
      <extLst>
        <ext uri="{3e2802c4-a4d2-4d8b-9148-e3be6c30e623}">
          <xlrd:rvb i="784"/>
        </ext>
      </extLst>
    </bk>
    <bk>
      <extLst>
        <ext uri="{3e2802c4-a4d2-4d8b-9148-e3be6c30e623}">
          <xlrd:rvb i="785"/>
        </ext>
      </extLst>
    </bk>
    <bk>
      <extLst>
        <ext uri="{3e2802c4-a4d2-4d8b-9148-e3be6c30e623}">
          <xlrd:rvb i="786"/>
        </ext>
      </extLst>
    </bk>
    <bk>
      <extLst>
        <ext uri="{3e2802c4-a4d2-4d8b-9148-e3be6c30e623}">
          <xlrd:rvb i="787"/>
        </ext>
      </extLst>
    </bk>
    <bk>
      <extLst>
        <ext uri="{3e2802c4-a4d2-4d8b-9148-e3be6c30e623}">
          <xlrd:rvb i="788"/>
        </ext>
      </extLst>
    </bk>
    <bk>
      <extLst>
        <ext uri="{3e2802c4-a4d2-4d8b-9148-e3be6c30e623}">
          <xlrd:rvb i="789"/>
        </ext>
      </extLst>
    </bk>
    <bk>
      <extLst>
        <ext uri="{3e2802c4-a4d2-4d8b-9148-e3be6c30e623}">
          <xlrd:rvb i="790"/>
        </ext>
      </extLst>
    </bk>
    <bk>
      <extLst>
        <ext uri="{3e2802c4-a4d2-4d8b-9148-e3be6c30e623}">
          <xlrd:rvb i="791"/>
        </ext>
      </extLst>
    </bk>
    <bk>
      <extLst>
        <ext uri="{3e2802c4-a4d2-4d8b-9148-e3be6c30e623}">
          <xlrd:rvb i="792"/>
        </ext>
      </extLst>
    </bk>
    <bk>
      <extLst>
        <ext uri="{3e2802c4-a4d2-4d8b-9148-e3be6c30e623}">
          <xlrd:rvb i="793"/>
        </ext>
      </extLst>
    </bk>
    <bk>
      <extLst>
        <ext uri="{3e2802c4-a4d2-4d8b-9148-e3be6c30e623}">
          <xlrd:rvb i="794"/>
        </ext>
      </extLst>
    </bk>
    <bk>
      <extLst>
        <ext uri="{3e2802c4-a4d2-4d8b-9148-e3be6c30e623}">
          <xlrd:rvb i="795"/>
        </ext>
      </extLst>
    </bk>
    <bk>
      <extLst>
        <ext uri="{3e2802c4-a4d2-4d8b-9148-e3be6c30e623}">
          <xlrd:rvb i="796"/>
        </ext>
      </extLst>
    </bk>
    <bk>
      <extLst>
        <ext uri="{3e2802c4-a4d2-4d8b-9148-e3be6c30e623}">
          <xlrd:rvb i="797"/>
        </ext>
      </extLst>
    </bk>
    <bk>
      <extLst>
        <ext uri="{3e2802c4-a4d2-4d8b-9148-e3be6c30e623}">
          <xlrd:rvb i="798"/>
        </ext>
      </extLst>
    </bk>
    <bk>
      <extLst>
        <ext uri="{3e2802c4-a4d2-4d8b-9148-e3be6c30e623}">
          <xlrd:rvb i="799"/>
        </ext>
      </extLst>
    </bk>
    <bk>
      <extLst>
        <ext uri="{3e2802c4-a4d2-4d8b-9148-e3be6c30e623}">
          <xlrd:rvb i="800"/>
        </ext>
      </extLst>
    </bk>
  </futureMetadata>
  <cellMetadata count="1">
    <bk>
      <rc t="1" v="0"/>
    </bk>
  </cellMetadata>
  <valueMetadata count="783">
    <bk>
      <rc t="2" v="0"/>
    </bk>
    <bk>
      <rc t="2" v="1"/>
    </bk>
    <bk>
      <rc t="2" v="2"/>
    </bk>
    <bk>
      <rc t="2" v="3"/>
    </bk>
    <bk>
      <rc t="2" v="4"/>
    </bk>
    <bk>
      <rc t="2" v="5"/>
    </bk>
    <bk>
      <rc t="2" v="6"/>
    </bk>
    <bk>
      <rc t="2" v="7"/>
    </bk>
    <bk>
      <rc t="2" v="8"/>
    </bk>
    <bk>
      <rc t="2" v="9"/>
    </bk>
    <bk>
      <rc t="2" v="10"/>
    </bk>
    <bk>
      <rc t="2" v="11"/>
    </bk>
    <bk>
      <rc t="2" v="12"/>
    </bk>
    <bk>
      <rc t="2" v="13"/>
    </bk>
    <bk>
      <rc t="2" v="14"/>
    </bk>
    <bk>
      <rc t="2" v="15"/>
    </bk>
    <bk>
      <rc t="2" v="16"/>
    </bk>
    <bk>
      <rc t="2" v="17"/>
    </bk>
    <bk>
      <rc t="2" v="18"/>
    </bk>
    <bk>
      <rc t="2" v="19"/>
    </bk>
    <bk>
      <rc t="2" v="20"/>
    </bk>
    <bk>
      <rc t="2" v="21"/>
    </bk>
    <bk>
      <rc t="2" v="22"/>
    </bk>
    <bk>
      <rc t="2" v="23"/>
    </bk>
    <bk>
      <rc t="2" v="24"/>
    </bk>
    <bk>
      <rc t="2" v="25"/>
    </bk>
    <bk>
      <rc t="2" v="26"/>
    </bk>
    <bk>
      <rc t="2" v="27"/>
    </bk>
    <bk>
      <rc t="2" v="28"/>
    </bk>
    <bk>
      <rc t="2" v="29"/>
    </bk>
    <bk>
      <rc t="2" v="30"/>
    </bk>
    <bk>
      <rc t="2" v="31"/>
    </bk>
    <bk>
      <rc t="2" v="32"/>
    </bk>
    <bk>
      <rc t="2" v="33"/>
    </bk>
    <bk>
      <rc t="2" v="34"/>
    </bk>
    <bk>
      <rc t="2" v="35"/>
    </bk>
    <bk>
      <rc t="2" v="36"/>
    </bk>
    <bk>
      <rc t="2" v="37"/>
    </bk>
    <bk>
      <rc t="2" v="38"/>
    </bk>
    <bk>
      <rc t="2" v="39"/>
    </bk>
    <bk>
      <rc t="2" v="40"/>
    </bk>
    <bk>
      <rc t="2" v="41"/>
    </bk>
    <bk>
      <rc t="2" v="42"/>
    </bk>
    <bk>
      <rc t="2" v="43"/>
    </bk>
    <bk>
      <rc t="2" v="44"/>
    </bk>
    <bk>
      <rc t="2" v="45"/>
    </bk>
    <bk>
      <rc t="2" v="46"/>
    </bk>
    <bk>
      <rc t="2" v="47"/>
    </bk>
    <bk>
      <rc t="2" v="48"/>
    </bk>
    <bk>
      <rc t="2" v="49"/>
    </bk>
    <bk>
      <rc t="2" v="50"/>
    </bk>
    <bk>
      <rc t="2" v="51"/>
    </bk>
    <bk>
      <rc t="2" v="52"/>
    </bk>
    <bk>
      <rc t="2" v="53"/>
    </bk>
    <bk>
      <rc t="2" v="54"/>
    </bk>
    <bk>
      <rc t="2" v="55"/>
    </bk>
    <bk>
      <rc t="2" v="56"/>
    </bk>
    <bk>
      <rc t="2" v="57"/>
    </bk>
    <bk>
      <rc t="2" v="58"/>
    </bk>
    <bk>
      <rc t="2" v="59"/>
    </bk>
    <bk>
      <rc t="2" v="60"/>
    </bk>
    <bk>
      <rc t="2" v="61"/>
    </bk>
    <bk>
      <rc t="2" v="62"/>
    </bk>
    <bk>
      <rc t="2" v="63"/>
    </bk>
    <bk>
      <rc t="2" v="64"/>
    </bk>
    <bk>
      <rc t="2" v="65"/>
    </bk>
    <bk>
      <rc t="2" v="66"/>
    </bk>
    <bk>
      <rc t="2" v="67"/>
    </bk>
    <bk>
      <rc t="2" v="68"/>
    </bk>
    <bk>
      <rc t="2" v="69"/>
    </bk>
    <bk>
      <rc t="2" v="70"/>
    </bk>
    <bk>
      <rc t="2" v="71"/>
    </bk>
    <bk>
      <rc t="2" v="72"/>
    </bk>
    <bk>
      <rc t="2" v="73"/>
    </bk>
    <bk>
      <rc t="2" v="74"/>
    </bk>
    <bk>
      <rc t="2" v="75"/>
    </bk>
    <bk>
      <rc t="2" v="76"/>
    </bk>
    <bk>
      <rc t="2" v="77"/>
    </bk>
    <bk>
      <rc t="2" v="78"/>
    </bk>
    <bk>
      <rc t="2" v="79"/>
    </bk>
    <bk>
      <rc t="2" v="80"/>
    </bk>
    <bk>
      <rc t="2" v="81"/>
    </bk>
    <bk>
      <rc t="2" v="82"/>
    </bk>
    <bk>
      <rc t="2" v="83"/>
    </bk>
    <bk>
      <rc t="2" v="84"/>
    </bk>
    <bk>
      <rc t="2" v="85"/>
    </bk>
    <bk>
      <rc t="2" v="86"/>
    </bk>
    <bk>
      <rc t="2" v="87"/>
    </bk>
    <bk>
      <rc t="2" v="88"/>
    </bk>
    <bk>
      <rc t="2" v="89"/>
    </bk>
    <bk>
      <rc t="2" v="90"/>
    </bk>
    <bk>
      <rc t="2" v="91"/>
    </bk>
    <bk>
      <rc t="2" v="92"/>
    </bk>
    <bk>
      <rc t="2" v="93"/>
    </bk>
    <bk>
      <rc t="2" v="94"/>
    </bk>
    <bk>
      <rc t="2" v="95"/>
    </bk>
    <bk>
      <rc t="2" v="96"/>
    </bk>
    <bk>
      <rc t="2" v="97"/>
    </bk>
    <bk>
      <rc t="2" v="98"/>
    </bk>
    <bk>
      <rc t="2" v="99"/>
    </bk>
    <bk>
      <rc t="2" v="100"/>
    </bk>
    <bk>
      <rc t="2" v="101"/>
    </bk>
    <bk>
      <rc t="2" v="102"/>
    </bk>
    <bk>
      <rc t="2" v="103"/>
    </bk>
    <bk>
      <rc t="2" v="104"/>
    </bk>
    <bk>
      <rc t="2" v="105"/>
    </bk>
    <bk>
      <rc t="2" v="106"/>
    </bk>
    <bk>
      <rc t="2" v="107"/>
    </bk>
    <bk>
      <rc t="2" v="108"/>
    </bk>
    <bk>
      <rc t="2" v="109"/>
    </bk>
    <bk>
      <rc t="2" v="110"/>
    </bk>
    <bk>
      <rc t="2" v="111"/>
    </bk>
    <bk>
      <rc t="2" v="112"/>
    </bk>
    <bk>
      <rc t="2" v="113"/>
    </bk>
    <bk>
      <rc t="2" v="114"/>
    </bk>
    <bk>
      <rc t="2" v="115"/>
    </bk>
    <bk>
      <rc t="2" v="116"/>
    </bk>
    <bk>
      <rc t="2" v="117"/>
    </bk>
    <bk>
      <rc t="2" v="118"/>
    </bk>
    <bk>
      <rc t="2" v="119"/>
    </bk>
    <bk>
      <rc t="2" v="120"/>
    </bk>
    <bk>
      <rc t="2" v="121"/>
    </bk>
    <bk>
      <rc t="2" v="122"/>
    </bk>
    <bk>
      <rc t="2" v="123"/>
    </bk>
    <bk>
      <rc t="2" v="124"/>
    </bk>
    <bk>
      <rc t="2" v="125"/>
    </bk>
    <bk>
      <rc t="2" v="126"/>
    </bk>
    <bk>
      <rc t="2" v="127"/>
    </bk>
    <bk>
      <rc t="2" v="128"/>
    </bk>
    <bk>
      <rc t="2" v="129"/>
    </bk>
    <bk>
      <rc t="2" v="130"/>
    </bk>
    <bk>
      <rc t="2" v="131"/>
    </bk>
    <bk>
      <rc t="2" v="132"/>
    </bk>
    <bk>
      <rc t="2" v="133"/>
    </bk>
    <bk>
      <rc t="2" v="134"/>
    </bk>
    <bk>
      <rc t="2" v="135"/>
    </bk>
    <bk>
      <rc t="2" v="136"/>
    </bk>
    <bk>
      <rc t="2" v="137"/>
    </bk>
    <bk>
      <rc t="2" v="138"/>
    </bk>
    <bk>
      <rc t="2" v="139"/>
    </bk>
    <bk>
      <rc t="2" v="140"/>
    </bk>
    <bk>
      <rc t="2" v="141"/>
    </bk>
    <bk>
      <rc t="2" v="142"/>
    </bk>
    <bk>
      <rc t="2" v="143"/>
    </bk>
    <bk>
      <rc t="2" v="144"/>
    </bk>
    <bk>
      <rc t="2" v="145"/>
    </bk>
    <bk>
      <rc t="2" v="146"/>
    </bk>
    <bk>
      <rc t="2" v="147"/>
    </bk>
    <bk>
      <rc t="2" v="148"/>
    </bk>
    <bk>
      <rc t="2" v="149"/>
    </bk>
    <bk>
      <rc t="2" v="150"/>
    </bk>
    <bk>
      <rc t="2" v="151"/>
    </bk>
    <bk>
      <rc t="2" v="152"/>
    </bk>
    <bk>
      <rc t="2" v="153"/>
    </bk>
    <bk>
      <rc t="2" v="154"/>
    </bk>
    <bk>
      <rc t="2" v="155"/>
    </bk>
    <bk>
      <rc t="2" v="156"/>
    </bk>
    <bk>
      <rc t="2" v="157"/>
    </bk>
    <bk>
      <rc t="2" v="158"/>
    </bk>
    <bk>
      <rc t="2" v="159"/>
    </bk>
    <bk>
      <rc t="2" v="160"/>
    </bk>
    <bk>
      <rc t="2" v="161"/>
    </bk>
    <bk>
      <rc t="2" v="162"/>
    </bk>
    <bk>
      <rc t="2" v="163"/>
    </bk>
    <bk>
      <rc t="2" v="164"/>
    </bk>
    <bk>
      <rc t="2" v="165"/>
    </bk>
    <bk>
      <rc t="2" v="166"/>
    </bk>
    <bk>
      <rc t="2" v="167"/>
    </bk>
    <bk>
      <rc t="2" v="168"/>
    </bk>
    <bk>
      <rc t="2" v="169"/>
    </bk>
    <bk>
      <rc t="2" v="170"/>
    </bk>
    <bk>
      <rc t="2" v="171"/>
    </bk>
    <bk>
      <rc t="2" v="172"/>
    </bk>
    <bk>
      <rc t="2" v="173"/>
    </bk>
    <bk>
      <rc t="2" v="174"/>
    </bk>
    <bk>
      <rc t="2" v="175"/>
    </bk>
    <bk>
      <rc t="2" v="176"/>
    </bk>
    <bk>
      <rc t="2" v="177"/>
    </bk>
    <bk>
      <rc t="2" v="178"/>
    </bk>
    <bk>
      <rc t="2" v="179"/>
    </bk>
    <bk>
      <rc t="2" v="180"/>
    </bk>
    <bk>
      <rc t="2" v="181"/>
    </bk>
    <bk>
      <rc t="2" v="182"/>
    </bk>
    <bk>
      <rc t="2" v="183"/>
    </bk>
    <bk>
      <rc t="2" v="184"/>
    </bk>
    <bk>
      <rc t="2" v="185"/>
    </bk>
    <bk>
      <rc t="2" v="186"/>
    </bk>
    <bk>
      <rc t="2" v="187"/>
    </bk>
    <bk>
      <rc t="2" v="188"/>
    </bk>
    <bk>
      <rc t="2" v="189"/>
    </bk>
    <bk>
      <rc t="2" v="190"/>
    </bk>
    <bk>
      <rc t="2" v="191"/>
    </bk>
    <bk>
      <rc t="2" v="192"/>
    </bk>
    <bk>
      <rc t="2" v="193"/>
    </bk>
    <bk>
      <rc t="2" v="194"/>
    </bk>
    <bk>
      <rc t="2" v="195"/>
    </bk>
    <bk>
      <rc t="2" v="196"/>
    </bk>
    <bk>
      <rc t="2" v="197"/>
    </bk>
    <bk>
      <rc t="2" v="198"/>
    </bk>
    <bk>
      <rc t="2" v="199"/>
    </bk>
    <bk>
      <rc t="2" v="200"/>
    </bk>
    <bk>
      <rc t="2" v="201"/>
    </bk>
    <bk>
      <rc t="2" v="202"/>
    </bk>
    <bk>
      <rc t="2" v="203"/>
    </bk>
    <bk>
      <rc t="2" v="204"/>
    </bk>
    <bk>
      <rc t="2" v="205"/>
    </bk>
    <bk>
      <rc t="2" v="206"/>
    </bk>
    <bk>
      <rc t="2" v="207"/>
    </bk>
    <bk>
      <rc t="2" v="208"/>
    </bk>
    <bk>
      <rc t="2" v="209"/>
    </bk>
    <bk>
      <rc t="2" v="210"/>
    </bk>
    <bk>
      <rc t="2" v="211"/>
    </bk>
    <bk>
      <rc t="2" v="212"/>
    </bk>
    <bk>
      <rc t="2" v="213"/>
    </bk>
    <bk>
      <rc t="2" v="214"/>
    </bk>
    <bk>
      <rc t="2" v="215"/>
    </bk>
    <bk>
      <rc t="2" v="216"/>
    </bk>
    <bk>
      <rc t="2" v="217"/>
    </bk>
    <bk>
      <rc t="2" v="218"/>
    </bk>
    <bk>
      <rc t="2" v="219"/>
    </bk>
    <bk>
      <rc t="2" v="220"/>
    </bk>
    <bk>
      <rc t="2" v="221"/>
    </bk>
    <bk>
      <rc t="2" v="222"/>
    </bk>
    <bk>
      <rc t="2" v="223"/>
    </bk>
    <bk>
      <rc t="2" v="224"/>
    </bk>
    <bk>
      <rc t="2" v="225"/>
    </bk>
    <bk>
      <rc t="2" v="226"/>
    </bk>
    <bk>
      <rc t="2" v="227"/>
    </bk>
    <bk>
      <rc t="2" v="228"/>
    </bk>
    <bk>
      <rc t="2" v="229"/>
    </bk>
    <bk>
      <rc t="2" v="230"/>
    </bk>
    <bk>
      <rc t="2" v="231"/>
    </bk>
    <bk>
      <rc t="2" v="232"/>
    </bk>
    <bk>
      <rc t="2" v="233"/>
    </bk>
    <bk>
      <rc t="2" v="234"/>
    </bk>
    <bk>
      <rc t="2" v="235"/>
    </bk>
    <bk>
      <rc t="2" v="236"/>
    </bk>
    <bk>
      <rc t="2" v="237"/>
    </bk>
    <bk>
      <rc t="2" v="238"/>
    </bk>
    <bk>
      <rc t="2" v="239"/>
    </bk>
    <bk>
      <rc t="2" v="240"/>
    </bk>
    <bk>
      <rc t="2" v="241"/>
    </bk>
    <bk>
      <rc t="2" v="242"/>
    </bk>
    <bk>
      <rc t="2" v="243"/>
    </bk>
    <bk>
      <rc t="2" v="244"/>
    </bk>
    <bk>
      <rc t="2" v="245"/>
    </bk>
    <bk>
      <rc t="2" v="246"/>
    </bk>
    <bk>
      <rc t="2" v="247"/>
    </bk>
    <bk>
      <rc t="2" v="248"/>
    </bk>
    <bk>
      <rc t="2" v="249"/>
    </bk>
    <bk>
      <rc t="2" v="250"/>
    </bk>
    <bk>
      <rc t="2" v="251"/>
    </bk>
    <bk>
      <rc t="2" v="252"/>
    </bk>
    <bk>
      <rc t="2" v="253"/>
    </bk>
    <bk>
      <rc t="2" v="254"/>
    </bk>
    <bk>
      <rc t="2" v="255"/>
    </bk>
    <bk>
      <rc t="2" v="256"/>
    </bk>
    <bk>
      <rc t="2" v="257"/>
    </bk>
    <bk>
      <rc t="2" v="258"/>
    </bk>
    <bk>
      <rc t="2" v="259"/>
    </bk>
    <bk>
      <rc t="2" v="260"/>
    </bk>
    <bk>
      <rc t="2" v="261"/>
    </bk>
    <bk>
      <rc t="2" v="262"/>
    </bk>
    <bk>
      <rc t="2" v="263"/>
    </bk>
    <bk>
      <rc t="2" v="264"/>
    </bk>
    <bk>
      <rc t="2" v="265"/>
    </bk>
    <bk>
      <rc t="2" v="266"/>
    </bk>
    <bk>
      <rc t="2" v="267"/>
    </bk>
    <bk>
      <rc t="2" v="268"/>
    </bk>
    <bk>
      <rc t="2" v="269"/>
    </bk>
    <bk>
      <rc t="2" v="270"/>
    </bk>
    <bk>
      <rc t="2" v="271"/>
    </bk>
    <bk>
      <rc t="2" v="272"/>
    </bk>
    <bk>
      <rc t="2" v="273"/>
    </bk>
    <bk>
      <rc t="2" v="274"/>
    </bk>
    <bk>
      <rc t="2" v="275"/>
    </bk>
    <bk>
      <rc t="2" v="276"/>
    </bk>
    <bk>
      <rc t="2" v="277"/>
    </bk>
    <bk>
      <rc t="2" v="278"/>
    </bk>
    <bk>
      <rc t="2" v="279"/>
    </bk>
    <bk>
      <rc t="2" v="280"/>
    </bk>
    <bk>
      <rc t="2" v="281"/>
    </bk>
    <bk>
      <rc t="2" v="282"/>
    </bk>
    <bk>
      <rc t="2" v="283"/>
    </bk>
    <bk>
      <rc t="2" v="284"/>
    </bk>
    <bk>
      <rc t="2" v="285"/>
    </bk>
    <bk>
      <rc t="2" v="286"/>
    </bk>
    <bk>
      <rc t="2" v="287"/>
    </bk>
    <bk>
      <rc t="2" v="288"/>
    </bk>
    <bk>
      <rc t="2" v="289"/>
    </bk>
    <bk>
      <rc t="2" v="290"/>
    </bk>
    <bk>
      <rc t="2" v="291"/>
    </bk>
    <bk>
      <rc t="2" v="292"/>
    </bk>
    <bk>
      <rc t="2" v="293"/>
    </bk>
    <bk>
      <rc t="2" v="294"/>
    </bk>
    <bk>
      <rc t="2" v="295"/>
    </bk>
    <bk>
      <rc t="2" v="296"/>
    </bk>
    <bk>
      <rc t="2" v="297"/>
    </bk>
    <bk>
      <rc t="2" v="298"/>
    </bk>
    <bk>
      <rc t="2" v="299"/>
    </bk>
    <bk>
      <rc t="2" v="300"/>
    </bk>
    <bk>
      <rc t="2" v="301"/>
    </bk>
    <bk>
      <rc t="2" v="302"/>
    </bk>
    <bk>
      <rc t="2" v="303"/>
    </bk>
    <bk>
      <rc t="2" v="304"/>
    </bk>
    <bk>
      <rc t="2" v="305"/>
    </bk>
    <bk>
      <rc t="2" v="306"/>
    </bk>
    <bk>
      <rc t="2" v="307"/>
    </bk>
    <bk>
      <rc t="2" v="308"/>
    </bk>
    <bk>
      <rc t="2" v="309"/>
    </bk>
    <bk>
      <rc t="2" v="310"/>
    </bk>
    <bk>
      <rc t="2" v="311"/>
    </bk>
    <bk>
      <rc t="2" v="312"/>
    </bk>
    <bk>
      <rc t="2" v="313"/>
    </bk>
    <bk>
      <rc t="2" v="314"/>
    </bk>
    <bk>
      <rc t="2" v="315"/>
    </bk>
    <bk>
      <rc t="2" v="316"/>
    </bk>
    <bk>
      <rc t="2" v="317"/>
    </bk>
    <bk>
      <rc t="2" v="318"/>
    </bk>
    <bk>
      <rc t="2" v="319"/>
    </bk>
    <bk>
      <rc t="2" v="320"/>
    </bk>
    <bk>
      <rc t="2" v="321"/>
    </bk>
    <bk>
      <rc t="2" v="322"/>
    </bk>
    <bk>
      <rc t="2" v="323"/>
    </bk>
    <bk>
      <rc t="2" v="324"/>
    </bk>
    <bk>
      <rc t="2" v="325"/>
    </bk>
    <bk>
      <rc t="2" v="326"/>
    </bk>
    <bk>
      <rc t="2" v="327"/>
    </bk>
    <bk>
      <rc t="2" v="328"/>
    </bk>
    <bk>
      <rc t="2" v="329"/>
    </bk>
    <bk>
      <rc t="2" v="330"/>
    </bk>
    <bk>
      <rc t="2" v="331"/>
    </bk>
    <bk>
      <rc t="2" v="332"/>
    </bk>
    <bk>
      <rc t="2" v="333"/>
    </bk>
    <bk>
      <rc t="2" v="334"/>
    </bk>
    <bk>
      <rc t="2" v="335"/>
    </bk>
    <bk>
      <rc t="2" v="336"/>
    </bk>
    <bk>
      <rc t="2" v="337"/>
    </bk>
    <bk>
      <rc t="2" v="338"/>
    </bk>
    <bk>
      <rc t="2" v="339"/>
    </bk>
    <bk>
      <rc t="2" v="340"/>
    </bk>
    <bk>
      <rc t="2" v="341"/>
    </bk>
    <bk>
      <rc t="2" v="342"/>
    </bk>
    <bk>
      <rc t="2" v="343"/>
    </bk>
    <bk>
      <rc t="2" v="344"/>
    </bk>
    <bk>
      <rc t="2" v="345"/>
    </bk>
    <bk>
      <rc t="2" v="346"/>
    </bk>
    <bk>
      <rc t="2" v="347"/>
    </bk>
    <bk>
      <rc t="2" v="348"/>
    </bk>
    <bk>
      <rc t="2" v="349"/>
    </bk>
    <bk>
      <rc t="2" v="350"/>
    </bk>
    <bk>
      <rc t="2" v="351"/>
    </bk>
    <bk>
      <rc t="2" v="352"/>
    </bk>
    <bk>
      <rc t="2" v="353"/>
    </bk>
    <bk>
      <rc t="2" v="354"/>
    </bk>
    <bk>
      <rc t="2" v="355"/>
    </bk>
    <bk>
      <rc t="2" v="356"/>
    </bk>
    <bk>
      <rc t="2" v="357"/>
    </bk>
    <bk>
      <rc t="2" v="358"/>
    </bk>
    <bk>
      <rc t="2" v="359"/>
    </bk>
    <bk>
      <rc t="2" v="360"/>
    </bk>
    <bk>
      <rc t="2" v="361"/>
    </bk>
    <bk>
      <rc t="2" v="362"/>
    </bk>
    <bk>
      <rc t="2" v="363"/>
    </bk>
    <bk>
      <rc t="2" v="364"/>
    </bk>
    <bk>
      <rc t="2" v="365"/>
    </bk>
    <bk>
      <rc t="2" v="366"/>
    </bk>
    <bk>
      <rc t="2" v="367"/>
    </bk>
    <bk>
      <rc t="2" v="368"/>
    </bk>
    <bk>
      <rc t="2" v="369"/>
    </bk>
    <bk>
      <rc t="2" v="370"/>
    </bk>
    <bk>
      <rc t="2" v="371"/>
    </bk>
    <bk>
      <rc t="2" v="372"/>
    </bk>
    <bk>
      <rc t="2" v="373"/>
    </bk>
    <bk>
      <rc t="2" v="374"/>
    </bk>
    <bk>
      <rc t="2" v="375"/>
    </bk>
    <bk>
      <rc t="2" v="376"/>
    </bk>
    <bk>
      <rc t="2" v="377"/>
    </bk>
    <bk>
      <rc t="2" v="378"/>
    </bk>
    <bk>
      <rc t="2" v="379"/>
    </bk>
    <bk>
      <rc t="2" v="380"/>
    </bk>
    <bk>
      <rc t="2" v="381"/>
    </bk>
    <bk>
      <rc t="2" v="382"/>
    </bk>
    <bk>
      <rc t="2" v="383"/>
    </bk>
    <bk>
      <rc t="2" v="384"/>
    </bk>
    <bk>
      <rc t="2" v="385"/>
    </bk>
    <bk>
      <rc t="2" v="386"/>
    </bk>
    <bk>
      <rc t="2" v="387"/>
    </bk>
    <bk>
      <rc t="2" v="388"/>
    </bk>
    <bk>
      <rc t="2" v="389"/>
    </bk>
    <bk>
      <rc t="2" v="390"/>
    </bk>
    <bk>
      <rc t="2" v="391"/>
    </bk>
    <bk>
      <rc t="2" v="392"/>
    </bk>
    <bk>
      <rc t="2" v="393"/>
    </bk>
    <bk>
      <rc t="2" v="394"/>
    </bk>
    <bk>
      <rc t="2" v="395"/>
    </bk>
    <bk>
      <rc t="2" v="396"/>
    </bk>
    <bk>
      <rc t="2" v="397"/>
    </bk>
    <bk>
      <rc t="2" v="398"/>
    </bk>
    <bk>
      <rc t="2" v="399"/>
    </bk>
    <bk>
      <rc t="2" v="400"/>
    </bk>
    <bk>
      <rc t="2" v="401"/>
    </bk>
    <bk>
      <rc t="2" v="402"/>
    </bk>
    <bk>
      <rc t="2" v="403"/>
    </bk>
    <bk>
      <rc t="2" v="404"/>
    </bk>
    <bk>
      <rc t="2" v="405"/>
    </bk>
    <bk>
      <rc t="2" v="406"/>
    </bk>
    <bk>
      <rc t="2" v="407"/>
    </bk>
    <bk>
      <rc t="2" v="408"/>
    </bk>
    <bk>
      <rc t="2" v="409"/>
    </bk>
    <bk>
      <rc t="2" v="410"/>
    </bk>
    <bk>
      <rc t="2" v="411"/>
    </bk>
    <bk>
      <rc t="2" v="412"/>
    </bk>
    <bk>
      <rc t="2" v="413"/>
    </bk>
    <bk>
      <rc t="2" v="414"/>
    </bk>
    <bk>
      <rc t="2" v="415"/>
    </bk>
    <bk>
      <rc t="2" v="416"/>
    </bk>
    <bk>
      <rc t="2" v="417"/>
    </bk>
    <bk>
      <rc t="2" v="418"/>
    </bk>
    <bk>
      <rc t="2" v="419"/>
    </bk>
    <bk>
      <rc t="2" v="420"/>
    </bk>
    <bk>
      <rc t="2" v="421"/>
    </bk>
    <bk>
      <rc t="2" v="422"/>
    </bk>
    <bk>
      <rc t="2" v="423"/>
    </bk>
    <bk>
      <rc t="2" v="424"/>
    </bk>
    <bk>
      <rc t="2" v="425"/>
    </bk>
    <bk>
      <rc t="2" v="426"/>
    </bk>
    <bk>
      <rc t="2" v="427"/>
    </bk>
    <bk>
      <rc t="2" v="428"/>
    </bk>
    <bk>
      <rc t="2" v="429"/>
    </bk>
    <bk>
      <rc t="2" v="430"/>
    </bk>
    <bk>
      <rc t="2" v="431"/>
    </bk>
    <bk>
      <rc t="2" v="432"/>
    </bk>
    <bk>
      <rc t="2" v="433"/>
    </bk>
    <bk>
      <rc t="2" v="434"/>
    </bk>
    <bk>
      <rc t="2" v="435"/>
    </bk>
    <bk>
      <rc t="2" v="436"/>
    </bk>
    <bk>
      <rc t="2" v="437"/>
    </bk>
    <bk>
      <rc t="2" v="438"/>
    </bk>
    <bk>
      <rc t="2" v="439"/>
    </bk>
    <bk>
      <rc t="2" v="440"/>
    </bk>
    <bk>
      <rc t="2" v="441"/>
    </bk>
    <bk>
      <rc t="2" v="442"/>
    </bk>
    <bk>
      <rc t="2" v="443"/>
    </bk>
    <bk>
      <rc t="2" v="444"/>
    </bk>
    <bk>
      <rc t="2" v="445"/>
    </bk>
    <bk>
      <rc t="2" v="446"/>
    </bk>
    <bk>
      <rc t="2" v="447"/>
    </bk>
    <bk>
      <rc t="2" v="448"/>
    </bk>
    <bk>
      <rc t="2" v="449"/>
    </bk>
    <bk>
      <rc t="2" v="450"/>
    </bk>
    <bk>
      <rc t="2" v="451"/>
    </bk>
    <bk>
      <rc t="2" v="452"/>
    </bk>
    <bk>
      <rc t="2" v="453"/>
    </bk>
    <bk>
      <rc t="2" v="454"/>
    </bk>
    <bk>
      <rc t="2" v="455"/>
    </bk>
    <bk>
      <rc t="2" v="456"/>
    </bk>
    <bk>
      <rc t="2" v="457"/>
    </bk>
    <bk>
      <rc t="2" v="458"/>
    </bk>
    <bk>
      <rc t="2" v="459"/>
    </bk>
    <bk>
      <rc t="2" v="460"/>
    </bk>
    <bk>
      <rc t="2" v="461"/>
    </bk>
    <bk>
      <rc t="2" v="462"/>
    </bk>
    <bk>
      <rc t="2" v="463"/>
    </bk>
    <bk>
      <rc t="2" v="464"/>
    </bk>
    <bk>
      <rc t="2" v="465"/>
    </bk>
    <bk>
      <rc t="2" v="466"/>
    </bk>
    <bk>
      <rc t="2" v="467"/>
    </bk>
    <bk>
      <rc t="2" v="468"/>
    </bk>
    <bk>
      <rc t="2" v="469"/>
    </bk>
    <bk>
      <rc t="2" v="470"/>
    </bk>
    <bk>
      <rc t="2" v="471"/>
    </bk>
    <bk>
      <rc t="2" v="472"/>
    </bk>
    <bk>
      <rc t="2" v="473"/>
    </bk>
    <bk>
      <rc t="2" v="474"/>
    </bk>
    <bk>
      <rc t="2" v="475"/>
    </bk>
    <bk>
      <rc t="2" v="476"/>
    </bk>
    <bk>
      <rc t="2" v="477"/>
    </bk>
    <bk>
      <rc t="2" v="478"/>
    </bk>
    <bk>
      <rc t="2" v="479"/>
    </bk>
    <bk>
      <rc t="2" v="480"/>
    </bk>
    <bk>
      <rc t="2" v="481"/>
    </bk>
    <bk>
      <rc t="2" v="482"/>
    </bk>
    <bk>
      <rc t="2" v="483"/>
    </bk>
    <bk>
      <rc t="2" v="484"/>
    </bk>
    <bk>
      <rc t="2" v="485"/>
    </bk>
    <bk>
      <rc t="2" v="486"/>
    </bk>
    <bk>
      <rc t="2" v="487"/>
    </bk>
    <bk>
      <rc t="2" v="488"/>
    </bk>
    <bk>
      <rc t="2" v="489"/>
    </bk>
    <bk>
      <rc t="2" v="490"/>
    </bk>
    <bk>
      <rc t="2" v="491"/>
    </bk>
    <bk>
      <rc t="2" v="492"/>
    </bk>
    <bk>
      <rc t="2" v="493"/>
    </bk>
    <bk>
      <rc t="2" v="494"/>
    </bk>
    <bk>
      <rc t="2" v="495"/>
    </bk>
    <bk>
      <rc t="2" v="496"/>
    </bk>
    <bk>
      <rc t="2" v="497"/>
    </bk>
    <bk>
      <rc t="2" v="498"/>
    </bk>
    <bk>
      <rc t="2" v="499"/>
    </bk>
    <bk>
      <rc t="2" v="500"/>
    </bk>
    <bk>
      <rc t="2" v="501"/>
    </bk>
    <bk>
      <rc t="2" v="502"/>
    </bk>
    <bk>
      <rc t="2" v="503"/>
    </bk>
    <bk>
      <rc t="2" v="504"/>
    </bk>
    <bk>
      <rc t="2" v="505"/>
    </bk>
    <bk>
      <rc t="2" v="506"/>
    </bk>
    <bk>
      <rc t="2" v="507"/>
    </bk>
    <bk>
      <rc t="2" v="508"/>
    </bk>
    <bk>
      <rc t="2" v="509"/>
    </bk>
    <bk>
      <rc t="2" v="510"/>
    </bk>
    <bk>
      <rc t="2" v="511"/>
    </bk>
    <bk>
      <rc t="2" v="512"/>
    </bk>
    <bk>
      <rc t="2" v="513"/>
    </bk>
    <bk>
      <rc t="2" v="514"/>
    </bk>
    <bk>
      <rc t="2" v="515"/>
    </bk>
    <bk>
      <rc t="2" v="516"/>
    </bk>
    <bk>
      <rc t="2" v="517"/>
    </bk>
    <bk>
      <rc t="2" v="518"/>
    </bk>
    <bk>
      <rc t="2" v="519"/>
    </bk>
    <bk>
      <rc t="2" v="520"/>
    </bk>
    <bk>
      <rc t="2" v="521"/>
    </bk>
    <bk>
      <rc t="2" v="522"/>
    </bk>
    <bk>
      <rc t="2" v="523"/>
    </bk>
    <bk>
      <rc t="2" v="524"/>
    </bk>
    <bk>
      <rc t="2" v="525"/>
    </bk>
    <bk>
      <rc t="2" v="526"/>
    </bk>
    <bk>
      <rc t="2" v="527"/>
    </bk>
    <bk>
      <rc t="2" v="528"/>
    </bk>
    <bk>
      <rc t="2" v="529"/>
    </bk>
    <bk>
      <rc t="2" v="530"/>
    </bk>
    <bk>
      <rc t="2" v="531"/>
    </bk>
    <bk>
      <rc t="2" v="532"/>
    </bk>
    <bk>
      <rc t="2" v="533"/>
    </bk>
    <bk>
      <rc t="2" v="534"/>
    </bk>
    <bk>
      <rc t="2" v="535"/>
    </bk>
    <bk>
      <rc t="2" v="536"/>
    </bk>
    <bk>
      <rc t="2" v="537"/>
    </bk>
    <bk>
      <rc t="2" v="538"/>
    </bk>
    <bk>
      <rc t="2" v="539"/>
    </bk>
    <bk>
      <rc t="2" v="540"/>
    </bk>
    <bk>
      <rc t="2" v="541"/>
    </bk>
    <bk>
      <rc t="2" v="542"/>
    </bk>
    <bk>
      <rc t="2" v="543"/>
    </bk>
    <bk>
      <rc t="2" v="544"/>
    </bk>
    <bk>
      <rc t="2" v="545"/>
    </bk>
    <bk>
      <rc t="2" v="546"/>
    </bk>
    <bk>
      <rc t="2" v="547"/>
    </bk>
    <bk>
      <rc t="2" v="548"/>
    </bk>
    <bk>
      <rc t="2" v="549"/>
    </bk>
    <bk>
      <rc t="2" v="550"/>
    </bk>
    <bk>
      <rc t="2" v="551"/>
    </bk>
    <bk>
      <rc t="2" v="552"/>
    </bk>
    <bk>
      <rc t="2" v="553"/>
    </bk>
    <bk>
      <rc t="2" v="554"/>
    </bk>
    <bk>
      <rc t="2" v="555"/>
    </bk>
    <bk>
      <rc t="2" v="556"/>
    </bk>
    <bk>
      <rc t="2" v="557"/>
    </bk>
    <bk>
      <rc t="2" v="558"/>
    </bk>
    <bk>
      <rc t="2" v="559"/>
    </bk>
    <bk>
      <rc t="2" v="560"/>
    </bk>
    <bk>
      <rc t="2" v="561"/>
    </bk>
    <bk>
      <rc t="2" v="562"/>
    </bk>
    <bk>
      <rc t="2" v="563"/>
    </bk>
    <bk>
      <rc t="2" v="564"/>
    </bk>
    <bk>
      <rc t="2" v="565"/>
    </bk>
    <bk>
      <rc t="2" v="566"/>
    </bk>
    <bk>
      <rc t="2" v="567"/>
    </bk>
    <bk>
      <rc t="2" v="568"/>
    </bk>
    <bk>
      <rc t="2" v="569"/>
    </bk>
    <bk>
      <rc t="2" v="570"/>
    </bk>
    <bk>
      <rc t="2" v="571"/>
    </bk>
    <bk>
      <rc t="2" v="572"/>
    </bk>
    <bk>
      <rc t="2" v="573"/>
    </bk>
    <bk>
      <rc t="2" v="574"/>
    </bk>
    <bk>
      <rc t="2" v="575"/>
    </bk>
    <bk>
      <rc t="2" v="576"/>
    </bk>
    <bk>
      <rc t="2" v="577"/>
    </bk>
    <bk>
      <rc t="2" v="578"/>
    </bk>
    <bk>
      <rc t="2" v="579"/>
    </bk>
    <bk>
      <rc t="2" v="580"/>
    </bk>
    <bk>
      <rc t="2" v="581"/>
    </bk>
    <bk>
      <rc t="2" v="582"/>
    </bk>
    <bk>
      <rc t="2" v="583"/>
    </bk>
    <bk>
      <rc t="2" v="584"/>
    </bk>
    <bk>
      <rc t="2" v="585"/>
    </bk>
    <bk>
      <rc t="2" v="586"/>
    </bk>
    <bk>
      <rc t="2" v="587"/>
    </bk>
    <bk>
      <rc t="2" v="588"/>
    </bk>
    <bk>
      <rc t="2" v="589"/>
    </bk>
    <bk>
      <rc t="2" v="590"/>
    </bk>
    <bk>
      <rc t="2" v="591"/>
    </bk>
    <bk>
      <rc t="2" v="592"/>
    </bk>
    <bk>
      <rc t="2" v="593"/>
    </bk>
    <bk>
      <rc t="2" v="594"/>
    </bk>
    <bk>
      <rc t="2" v="595"/>
    </bk>
    <bk>
      <rc t="2" v="596"/>
    </bk>
    <bk>
      <rc t="2" v="597"/>
    </bk>
    <bk>
      <rc t="2" v="598"/>
    </bk>
    <bk>
      <rc t="2" v="599"/>
    </bk>
    <bk>
      <rc t="2" v="600"/>
    </bk>
    <bk>
      <rc t="2" v="601"/>
    </bk>
    <bk>
      <rc t="2" v="602"/>
    </bk>
    <bk>
      <rc t="2" v="603"/>
    </bk>
    <bk>
      <rc t="2" v="604"/>
    </bk>
    <bk>
      <rc t="2" v="605"/>
    </bk>
    <bk>
      <rc t="2" v="606"/>
    </bk>
    <bk>
      <rc t="2" v="607"/>
    </bk>
    <bk>
      <rc t="2" v="608"/>
    </bk>
    <bk>
      <rc t="2" v="609"/>
    </bk>
    <bk>
      <rc t="2" v="610"/>
    </bk>
    <bk>
      <rc t="2" v="611"/>
    </bk>
    <bk>
      <rc t="2" v="612"/>
    </bk>
    <bk>
      <rc t="2" v="613"/>
    </bk>
    <bk>
      <rc t="2" v="614"/>
    </bk>
    <bk>
      <rc t="2" v="615"/>
    </bk>
    <bk>
      <rc t="2" v="616"/>
    </bk>
    <bk>
      <rc t="2" v="617"/>
    </bk>
    <bk>
      <rc t="2" v="618"/>
    </bk>
    <bk>
      <rc t="2" v="619"/>
    </bk>
    <bk>
      <rc t="2" v="620"/>
    </bk>
    <bk>
      <rc t="2" v="621"/>
    </bk>
    <bk>
      <rc t="2" v="622"/>
    </bk>
    <bk>
      <rc t="2" v="623"/>
    </bk>
    <bk>
      <rc t="2" v="624"/>
    </bk>
    <bk>
      <rc t="2" v="625"/>
    </bk>
    <bk>
      <rc t="2" v="626"/>
    </bk>
    <bk>
      <rc t="2" v="627"/>
    </bk>
    <bk>
      <rc t="2" v="628"/>
    </bk>
    <bk>
      <rc t="2" v="629"/>
    </bk>
    <bk>
      <rc t="2" v="630"/>
    </bk>
    <bk>
      <rc t="2" v="631"/>
    </bk>
    <bk>
      <rc t="2" v="632"/>
    </bk>
    <bk>
      <rc t="2" v="633"/>
    </bk>
    <bk>
      <rc t="2" v="634"/>
    </bk>
    <bk>
      <rc t="2" v="635"/>
    </bk>
    <bk>
      <rc t="2" v="636"/>
    </bk>
    <bk>
      <rc t="2" v="637"/>
    </bk>
    <bk>
      <rc t="2" v="638"/>
    </bk>
    <bk>
      <rc t="2" v="639"/>
    </bk>
    <bk>
      <rc t="2" v="640"/>
    </bk>
    <bk>
      <rc t="2" v="641"/>
    </bk>
    <bk>
      <rc t="2" v="642"/>
    </bk>
    <bk>
      <rc t="2" v="643"/>
    </bk>
    <bk>
      <rc t="2" v="644"/>
    </bk>
    <bk>
      <rc t="2" v="645"/>
    </bk>
    <bk>
      <rc t="2" v="646"/>
    </bk>
    <bk>
      <rc t="2" v="647"/>
    </bk>
    <bk>
      <rc t="2" v="648"/>
    </bk>
    <bk>
      <rc t="2" v="649"/>
    </bk>
    <bk>
      <rc t="2" v="650"/>
    </bk>
    <bk>
      <rc t="2" v="651"/>
    </bk>
    <bk>
      <rc t="2" v="652"/>
    </bk>
    <bk>
      <rc t="2" v="653"/>
    </bk>
    <bk>
      <rc t="2" v="654"/>
    </bk>
    <bk>
      <rc t="2" v="655"/>
    </bk>
    <bk>
      <rc t="2" v="656"/>
    </bk>
    <bk>
      <rc t="2" v="657"/>
    </bk>
    <bk>
      <rc t="2" v="658"/>
    </bk>
    <bk>
      <rc t="2" v="659"/>
    </bk>
    <bk>
      <rc t="2" v="660"/>
    </bk>
    <bk>
      <rc t="2" v="661"/>
    </bk>
    <bk>
      <rc t="2" v="662"/>
    </bk>
    <bk>
      <rc t="2" v="663"/>
    </bk>
    <bk>
      <rc t="2" v="664"/>
    </bk>
    <bk>
      <rc t="2" v="665"/>
    </bk>
    <bk>
      <rc t="2" v="666"/>
    </bk>
    <bk>
      <rc t="2" v="667"/>
    </bk>
    <bk>
      <rc t="2" v="668"/>
    </bk>
    <bk>
      <rc t="2" v="669"/>
    </bk>
    <bk>
      <rc t="2" v="670"/>
    </bk>
    <bk>
      <rc t="2" v="671"/>
    </bk>
    <bk>
      <rc t="2" v="672"/>
    </bk>
    <bk>
      <rc t="2" v="673"/>
    </bk>
    <bk>
      <rc t="2" v="674"/>
    </bk>
    <bk>
      <rc t="2" v="675"/>
    </bk>
    <bk>
      <rc t="2" v="676"/>
    </bk>
    <bk>
      <rc t="2" v="677"/>
    </bk>
    <bk>
      <rc t="2" v="678"/>
    </bk>
    <bk>
      <rc t="2" v="679"/>
    </bk>
    <bk>
      <rc t="2" v="680"/>
    </bk>
    <bk>
      <rc t="2" v="681"/>
    </bk>
    <bk>
      <rc t="2" v="682"/>
    </bk>
    <bk>
      <rc t="2" v="683"/>
    </bk>
    <bk>
      <rc t="2" v="684"/>
    </bk>
    <bk>
      <rc t="2" v="685"/>
    </bk>
    <bk>
      <rc t="2" v="686"/>
    </bk>
    <bk>
      <rc t="2" v="687"/>
    </bk>
    <bk>
      <rc t="2" v="688"/>
    </bk>
    <bk>
      <rc t="2" v="689"/>
    </bk>
    <bk>
      <rc t="2" v="690"/>
    </bk>
    <bk>
      <rc t="2" v="691"/>
    </bk>
    <bk>
      <rc t="2" v="692"/>
    </bk>
    <bk>
      <rc t="2" v="693"/>
    </bk>
    <bk>
      <rc t="2" v="694"/>
    </bk>
    <bk>
      <rc t="2" v="695"/>
    </bk>
    <bk>
      <rc t="2" v="696"/>
    </bk>
    <bk>
      <rc t="2" v="697"/>
    </bk>
    <bk>
      <rc t="2" v="698"/>
    </bk>
    <bk>
      <rc t="2" v="699"/>
    </bk>
    <bk>
      <rc t="2" v="700"/>
    </bk>
    <bk>
      <rc t="2" v="701"/>
    </bk>
    <bk>
      <rc t="2" v="702"/>
    </bk>
    <bk>
      <rc t="2" v="703"/>
    </bk>
    <bk>
      <rc t="2" v="704"/>
    </bk>
    <bk>
      <rc t="2" v="705"/>
    </bk>
    <bk>
      <rc t="2" v="706"/>
    </bk>
    <bk>
      <rc t="2" v="707"/>
    </bk>
    <bk>
      <rc t="2" v="708"/>
    </bk>
    <bk>
      <rc t="2" v="709"/>
    </bk>
    <bk>
      <rc t="2" v="710"/>
    </bk>
    <bk>
      <rc t="2" v="711"/>
    </bk>
    <bk>
      <rc t="2" v="712"/>
    </bk>
    <bk>
      <rc t="2" v="713"/>
    </bk>
    <bk>
      <rc t="2" v="714"/>
    </bk>
    <bk>
      <rc t="2" v="715"/>
    </bk>
    <bk>
      <rc t="2" v="716"/>
    </bk>
    <bk>
      <rc t="2" v="717"/>
    </bk>
    <bk>
      <rc t="2" v="718"/>
    </bk>
    <bk>
      <rc t="2" v="719"/>
    </bk>
    <bk>
      <rc t="2" v="720"/>
    </bk>
    <bk>
      <rc t="2" v="721"/>
    </bk>
    <bk>
      <rc t="2" v="722"/>
    </bk>
    <bk>
      <rc t="2" v="723"/>
    </bk>
    <bk>
      <rc t="2" v="724"/>
    </bk>
    <bk>
      <rc t="2" v="725"/>
    </bk>
    <bk>
      <rc t="2" v="726"/>
    </bk>
    <bk>
      <rc t="2" v="727"/>
    </bk>
    <bk>
      <rc t="2" v="728"/>
    </bk>
    <bk>
      <rc t="2" v="729"/>
    </bk>
    <bk>
      <rc t="2" v="730"/>
    </bk>
    <bk>
      <rc t="2" v="731"/>
    </bk>
    <bk>
      <rc t="2" v="732"/>
    </bk>
    <bk>
      <rc t="2" v="733"/>
    </bk>
    <bk>
      <rc t="2" v="734"/>
    </bk>
    <bk>
      <rc t="2" v="735"/>
    </bk>
    <bk>
      <rc t="2" v="736"/>
    </bk>
    <bk>
      <rc t="2" v="737"/>
    </bk>
    <bk>
      <rc t="2" v="738"/>
    </bk>
    <bk>
      <rc t="2" v="739"/>
    </bk>
    <bk>
      <rc t="2" v="740"/>
    </bk>
    <bk>
      <rc t="2" v="741"/>
    </bk>
    <bk>
      <rc t="2" v="742"/>
    </bk>
    <bk>
      <rc t="2" v="743"/>
    </bk>
    <bk>
      <rc t="2" v="744"/>
    </bk>
    <bk>
      <rc t="2" v="745"/>
    </bk>
    <bk>
      <rc t="2" v="746"/>
    </bk>
    <bk>
      <rc t="2" v="747"/>
    </bk>
    <bk>
      <rc t="2" v="748"/>
    </bk>
    <bk>
      <rc t="2" v="749"/>
    </bk>
    <bk>
      <rc t="2" v="750"/>
    </bk>
    <bk>
      <rc t="2" v="751"/>
    </bk>
    <bk>
      <rc t="2" v="752"/>
    </bk>
    <bk>
      <rc t="2" v="753"/>
    </bk>
    <bk>
      <rc t="2" v="754"/>
    </bk>
    <bk>
      <rc t="2" v="755"/>
    </bk>
    <bk>
      <rc t="2" v="756"/>
    </bk>
    <bk>
      <rc t="2" v="757"/>
    </bk>
    <bk>
      <rc t="2" v="758"/>
    </bk>
    <bk>
      <rc t="2" v="759"/>
    </bk>
    <bk>
      <rc t="2" v="760"/>
    </bk>
    <bk>
      <rc t="2" v="761"/>
    </bk>
    <bk>
      <rc t="2" v="762"/>
    </bk>
    <bk>
      <rc t="2" v="763"/>
    </bk>
    <bk>
      <rc t="2" v="764"/>
    </bk>
    <bk>
      <rc t="2" v="765"/>
    </bk>
    <bk>
      <rc t="2" v="766"/>
    </bk>
    <bk>
      <rc t="2" v="767"/>
    </bk>
    <bk>
      <rc t="2" v="768"/>
    </bk>
    <bk>
      <rc t="2" v="769"/>
    </bk>
    <bk>
      <rc t="2" v="770"/>
    </bk>
    <bk>
      <rc t="2" v="771"/>
    </bk>
    <bk>
      <rc t="2" v="772"/>
    </bk>
    <bk>
      <rc t="2" v="773"/>
    </bk>
    <bk>
      <rc t="2" v="774"/>
    </bk>
    <bk>
      <rc t="2" v="775"/>
    </bk>
    <bk>
      <rc t="2" v="776"/>
    </bk>
    <bk>
      <rc t="2" v="777"/>
    </bk>
    <bk>
      <rc t="2" v="778"/>
    </bk>
    <bk>
      <rc t="2" v="779"/>
    </bk>
    <bk>
      <rc t="2" v="780"/>
    </bk>
    <bk>
      <rc t="2" v="781"/>
    </bk>
    <bk>
      <rc t="2" v="782"/>
    </bk>
  </valueMetadata>
</metadata>
</file>

<file path=xl/sharedStrings.xml><?xml version="1.0" encoding="utf-8"?>
<sst xmlns="http://schemas.openxmlformats.org/spreadsheetml/2006/main" count="719" uniqueCount="504">
  <si>
    <t>Consolidated Statements of Income - USD ($) shares in Thousands, $ in Thousands</t>
  </si>
  <si>
    <t>Total revenues</t>
  </si>
  <si>
    <t>Total cost of revenues</t>
  </si>
  <si>
    <t>Total gross profit</t>
  </si>
  <si>
    <t>Selling, general and administrative expenses</t>
  </si>
  <si>
    <t>Depreciation and amortization expense</t>
  </si>
  <si>
    <t>Income (Loss) from Equity Method Investments</t>
  </si>
  <si>
    <t>Other income, net</t>
  </si>
  <si>
    <t>Income before income taxes</t>
  </si>
  <si>
    <t>Income tax expense</t>
  </si>
  <si>
    <t>Net income</t>
  </si>
  <si>
    <t>Less: Net income attributable to noncontrolling interests</t>
  </si>
  <si>
    <t>Net income attributable to Green Brick Partners, Inc.</t>
  </si>
  <si>
    <t>Net income attributable to Green Brick Partners, Inc. per common share:</t>
  </si>
  <si>
    <t>Earnings Per Share, Basic</t>
  </si>
  <si>
    <t>Earnings Per Share, Diluted</t>
  </si>
  <si>
    <t>Weighted Average Number of Shares Outstanding, Diluted</t>
  </si>
  <si>
    <t>Weighted Average Number of Shares Outstanding, Basic</t>
  </si>
  <si>
    <t>Consolidated Balance Sheets - USD ($) $ in Thousands</t>
  </si>
  <si>
    <t>Assets</t>
  </si>
  <si>
    <t>Cash and cash equivalents</t>
  </si>
  <si>
    <t>Restricted cash</t>
  </si>
  <si>
    <t>Accounts receivable</t>
  </si>
  <si>
    <t>Inventory</t>
  </si>
  <si>
    <t>Earnest money deposits</t>
  </si>
  <si>
    <t>Total Current Assets</t>
  </si>
  <si>
    <t>Investment in direct financing leases</t>
  </si>
  <si>
    <t>Right-of-use assets - operating leases</t>
  </si>
  <si>
    <t>Property and equipment, net</t>
  </si>
  <si>
    <t>Deferred income tax assets, net</t>
  </si>
  <si>
    <t>Intangible assets, net</t>
  </si>
  <si>
    <t>Goodwill</t>
  </si>
  <si>
    <t>Other assets</t>
  </si>
  <si>
    <t>Total assets</t>
  </si>
  <si>
    <t>Liabilities and stockholders’ equity</t>
  </si>
  <si>
    <t>Accounts payable</t>
  </si>
  <si>
    <t>Accrued expenses</t>
  </si>
  <si>
    <t>Customer and builder deposits</t>
  </si>
  <si>
    <t>Lease liabilities - operating leases</t>
  </si>
  <si>
    <t>Borrowings on lines of credit</t>
  </si>
  <si>
    <t>Senior Notes</t>
  </si>
  <si>
    <t>Notes payable</t>
  </si>
  <si>
    <t>Total Current Liabilties</t>
  </si>
  <si>
    <t>Contigent consideration</t>
  </si>
  <si>
    <t>Total liabilities</t>
  </si>
  <si>
    <t>Redeemable noncontrolling interest in equity of consolidated subsidiary</t>
  </si>
  <si>
    <t>Green Brick Partners, Inc. stockholders’ equity</t>
  </si>
  <si>
    <t>Common shares, $0.01 par value: 100,000,000 shares authorized;</t>
  </si>
  <si>
    <t>Treasury stock at cost, 136,756 shares</t>
  </si>
  <si>
    <t>Additional paid-in capital</t>
  </si>
  <si>
    <t>Retained earnings</t>
  </si>
  <si>
    <t>Total Green Brick Partners, Inc. stockholders’ equity</t>
  </si>
  <si>
    <t>Noncontrolling interests</t>
  </si>
  <si>
    <t>Total stockholders’ equity</t>
  </si>
  <si>
    <t>Total liabilities and stockholders’ equity</t>
  </si>
  <si>
    <t>Preferred stock, $0.01 par value: 5,000,000 shares authorized</t>
  </si>
  <si>
    <t>Treasury stock at cost</t>
  </si>
  <si>
    <t xml:space="preserve"> </t>
  </si>
  <si>
    <t>Consolidated Statements of Income - USD ($) shares in Thousands</t>
  </si>
  <si>
    <t>2025E</t>
  </si>
  <si>
    <t>2026E</t>
  </si>
  <si>
    <t>2027E</t>
  </si>
  <si>
    <t>2028E</t>
  </si>
  <si>
    <t>2029E</t>
  </si>
  <si>
    <t>2030E</t>
  </si>
  <si>
    <t>2031E</t>
  </si>
  <si>
    <t>Revenue Growth Rate</t>
  </si>
  <si>
    <t>EBITDA</t>
  </si>
  <si>
    <t>EBITDA Margin</t>
  </si>
  <si>
    <t>Gross Margin Assumptions</t>
  </si>
  <si>
    <t>Operating Margin Assumptions</t>
  </si>
  <si>
    <t>Total Revenue Standard Deviation</t>
  </si>
  <si>
    <t>Gross Margin</t>
  </si>
  <si>
    <t>Gross Margin Standard Deviation</t>
  </si>
  <si>
    <t>Investments in unconsolidated entities</t>
  </si>
  <si>
    <t>Borrowings on lines of credit, net</t>
  </si>
  <si>
    <t>Year</t>
  </si>
  <si>
    <t>2026 Notes</t>
  </si>
  <si>
    <t>2027 Notes</t>
  </si>
  <si>
    <t>2028 Notes</t>
  </si>
  <si>
    <t>2029 Notes</t>
  </si>
  <si>
    <t>Gross Total</t>
  </si>
  <si>
    <t>Debt Issuance Costs</t>
  </si>
  <si>
    <t>Net Senior Notes</t>
  </si>
  <si>
    <t>Consolidated Statements of Cash Flows - USD ($) in Thousands</t>
  </si>
  <si>
    <t>Net Income</t>
  </si>
  <si>
    <t>Depreciation and Amortization Expense</t>
  </si>
  <si>
    <t>Gain (Loss) on Disposition of Property Plant Equipment, Excluding Oil and Gas Property and Timber Property</t>
  </si>
  <si>
    <t>Share-based Compensation</t>
  </si>
  <si>
    <t>Business Combination, Contingent Consideration Arrangements, Change in Amount of Contingent Consideration, Liability</t>
  </si>
  <si>
    <t>Equity method investment, Realized Gain (Loss) on Disposal</t>
  </si>
  <si>
    <t>Allowances For Option Deposits And Pre-Acquisition Costs</t>
  </si>
  <si>
    <t>Cash distributions of income from unconsolidated entity</t>
  </si>
  <si>
    <t>Changes in operating assets and liabilities</t>
  </si>
  <si>
    <t>Decrease (increase) in accounts receivable</t>
  </si>
  <si>
    <t>Increase in inventory</t>
  </si>
  <si>
    <t>Increase (decrease) in earnest money deposits</t>
  </si>
  <si>
    <t>(Increase) decrease in other assets</t>
  </si>
  <si>
    <t>Increase (decrease) in accounts payable</t>
  </si>
  <si>
    <t>Increase (decrease) in accrued expenses</t>
  </si>
  <si>
    <t>Payment for Contingent Consideration Liability, Operating Activities</t>
  </si>
  <si>
    <t>Increase (Decrease) in Contract with Customer, Liability</t>
  </si>
  <si>
    <t>Payments to Acquire Businesses, Net of Cash Acquired</t>
  </si>
  <si>
    <t>Cash flows from investing activities</t>
  </si>
  <si>
    <t>Proceeds from sale of investment in unconsolidated entity</t>
  </si>
  <si>
    <t>Acquisition of investment in unconsolidated entity</t>
  </si>
  <si>
    <t>Acquisition of property and equipment</t>
  </si>
  <si>
    <t>Net cash (used in) provided by investing activities</t>
  </si>
  <si>
    <t>Cash flows from financing activities</t>
  </si>
  <si>
    <t>Borrowings from lines of credit</t>
  </si>
  <si>
    <t>Proceeds from Issuance of Senior Long-term Debt</t>
  </si>
  <si>
    <t>Payments of Debt Issuance Costs</t>
  </si>
  <si>
    <t>Proceeds (Repayments) from notes payable</t>
  </si>
  <si>
    <t>Repayments of Senior Debt</t>
  </si>
  <si>
    <t>Repayments of lines of credit</t>
  </si>
  <si>
    <t>Payment for Contingent Consideration Liability, Financing Activities</t>
  </si>
  <si>
    <t>Withholdings of taxes from vesting of restricted stock awards</t>
  </si>
  <si>
    <t>Payments for Repurchase of Common Stock</t>
  </si>
  <si>
    <t>Payments of Dividends</t>
  </si>
  <si>
    <t>Proceeds from Issuance of Preferred Stock and Preference Stock</t>
  </si>
  <si>
    <t>Contributions from noncontrolling interests</t>
  </si>
  <si>
    <t>Distributions to noncontrolling interests</t>
  </si>
  <si>
    <t>Proceeds from (Payments for) Other Financing Activities</t>
  </si>
  <si>
    <t>Net cash provided by financing activities</t>
  </si>
  <si>
    <t>Beginning Cash and Restricted Cash</t>
  </si>
  <si>
    <t>Net increase in cash and restricted cash</t>
  </si>
  <si>
    <t>Ending Cash and restricted cash</t>
  </si>
  <si>
    <t>Historical Payout Ratio</t>
  </si>
  <si>
    <t>Dupont Analysis</t>
  </si>
  <si>
    <t>Net Profit Margin</t>
  </si>
  <si>
    <t>Asset Turnover</t>
  </si>
  <si>
    <t>Inventory Turnover</t>
  </si>
  <si>
    <t>Return on Assets</t>
  </si>
  <si>
    <t>Equity Mutlitplier</t>
  </si>
  <si>
    <t>Return on Equity</t>
  </si>
  <si>
    <t>Return on Invested Capital</t>
  </si>
  <si>
    <t>Liquidity</t>
  </si>
  <si>
    <t>Current Ratio</t>
  </si>
  <si>
    <t>Quick Ratio</t>
  </si>
  <si>
    <t>Debt Ratios</t>
  </si>
  <si>
    <t>Debt to Equity</t>
  </si>
  <si>
    <t>LT Debt / Cash flow from operations</t>
  </si>
  <si>
    <t>Total Debt / Cash flow from operations</t>
  </si>
  <si>
    <t>Definition</t>
  </si>
  <si>
    <t>Gross profit/revenue)*100</t>
  </si>
  <si>
    <t>Operating Margin</t>
  </si>
  <si>
    <t>(income before income taxes/total revenue)*100</t>
  </si>
  <si>
    <t>Net Margin</t>
  </si>
  <si>
    <t>(Net income/total revenues)*100</t>
  </si>
  <si>
    <t>Cash Flow Margin</t>
  </si>
  <si>
    <t>(EBIDA/Total revenues)*100</t>
  </si>
  <si>
    <t>Free Cash Flow Margin</t>
  </si>
  <si>
    <t>Operating Cash Flow Margin</t>
  </si>
  <si>
    <t>Free operating cash flow margin</t>
  </si>
  <si>
    <t>Return on assets</t>
  </si>
  <si>
    <t>(net income/total assets)*100</t>
  </si>
  <si>
    <t>Cash flow to assets</t>
  </si>
  <si>
    <t>Return on equity</t>
  </si>
  <si>
    <t>(net income/total equity)*100</t>
  </si>
  <si>
    <t>Cash flow to equity</t>
  </si>
  <si>
    <t>(EBIDA/total equity)*100</t>
  </si>
  <si>
    <t>Basic Earning power</t>
  </si>
  <si>
    <t>Return on investment</t>
  </si>
  <si>
    <t>Growth rate in equity</t>
  </si>
  <si>
    <t>Economic value added</t>
  </si>
  <si>
    <t>Economic to capital</t>
  </si>
  <si>
    <t>Current ratio</t>
  </si>
  <si>
    <t>current assets/current liabilities</t>
  </si>
  <si>
    <t>Days in customers A/R</t>
  </si>
  <si>
    <t>Average payment period</t>
  </si>
  <si>
    <t>Debt Ratio</t>
  </si>
  <si>
    <t>Equity ratio</t>
  </si>
  <si>
    <t>Debt / Equity</t>
  </si>
  <si>
    <t>Capitalization ratio</t>
  </si>
  <si>
    <t>TIE Ratio</t>
  </si>
  <si>
    <t>Cash flow to total debt</t>
  </si>
  <si>
    <t>(Net income + depreciation + amortization)/(current liabilties and long term debt)</t>
  </si>
  <si>
    <t>Debt service coverage ratio</t>
  </si>
  <si>
    <t>Cash flow coverage</t>
  </si>
  <si>
    <t>Cushion Ratio</t>
  </si>
  <si>
    <t xml:space="preserve">Capital expense ratio </t>
  </si>
  <si>
    <t>Total asset turnover</t>
  </si>
  <si>
    <t>Total revenue/ total assets</t>
  </si>
  <si>
    <t>Fixed asset turnover</t>
  </si>
  <si>
    <t>Current asset turnover</t>
  </si>
  <si>
    <t>total revenue/current assets</t>
  </si>
  <si>
    <t xml:space="preserve">inventory turnover </t>
  </si>
  <si>
    <t>Capital expenditure growth rate</t>
  </si>
  <si>
    <t>Replacement viability ratio</t>
  </si>
  <si>
    <t>Market to book ratio</t>
  </si>
  <si>
    <t>Price to earnings ratio</t>
  </si>
  <si>
    <t>Price cash flow ratio</t>
  </si>
  <si>
    <t>Debt to Capital Ratio</t>
  </si>
  <si>
    <t>Total Equity</t>
  </si>
  <si>
    <t>S&amp;P 500</t>
  </si>
  <si>
    <t>Dividends</t>
  </si>
  <si>
    <t>Total Yield</t>
  </si>
  <si>
    <t>Dividend Yield</t>
  </si>
  <si>
    <t>T.Bond rate</t>
  </si>
  <si>
    <t>Return on bond</t>
  </si>
  <si>
    <t>Aaa Bond Rate</t>
  </si>
  <si>
    <t xml:space="preserve">Return on Aaa </t>
  </si>
  <si>
    <t>Baa Bond Rate</t>
  </si>
  <si>
    <t xml:space="preserve">Return on Baa </t>
  </si>
  <si>
    <t>Returns on Real Estate</t>
  </si>
  <si>
    <t>Arithmetic Average</t>
  </si>
  <si>
    <t>Geometric Average</t>
  </si>
  <si>
    <t>Arithmetic ERP</t>
  </si>
  <si>
    <t>Geometric ERP</t>
  </si>
  <si>
    <t>Start Date</t>
  </si>
  <si>
    <t>End Date</t>
  </si>
  <si>
    <t>Raw Historical Returns (Competitors)</t>
  </si>
  <si>
    <t>Standardized to $100 Historical Returns (competitors</t>
  </si>
  <si>
    <t>Date</t>
  </si>
  <si>
    <t>GREEN BRICK PARTNERS</t>
  </si>
  <si>
    <t>LENNAR CORPORATION</t>
  </si>
  <si>
    <t>CENTURY COMMUNITIES</t>
  </si>
  <si>
    <t>MERITAGE HOMES</t>
  </si>
  <si>
    <t>TRI POINTE HOMES</t>
  </si>
  <si>
    <t>D.R. HORTON</t>
  </si>
  <si>
    <t>PULTEGROUP</t>
  </si>
  <si>
    <t>Selling Price</t>
  </si>
  <si>
    <t>Source: FRED</t>
  </si>
  <si>
    <t>Mortgage Rate</t>
  </si>
  <si>
    <t>CPI Value</t>
  </si>
  <si>
    <t>Thousands of Construction Workers</t>
  </si>
  <si>
    <t>Job Growth Rate</t>
  </si>
  <si>
    <t>Valuation Summary and Graphics</t>
  </si>
  <si>
    <t>Green Brick Partners</t>
  </si>
  <si>
    <t>Min</t>
  </si>
  <si>
    <t>Difference</t>
  </si>
  <si>
    <t>Max</t>
  </si>
  <si>
    <t>Target Price</t>
  </si>
  <si>
    <t>Upside</t>
  </si>
  <si>
    <t>DCF</t>
  </si>
  <si>
    <t>Relative</t>
  </si>
  <si>
    <t>52-Week Range</t>
  </si>
  <si>
    <t>Best Case</t>
  </si>
  <si>
    <t>Valuation Summary – Equity Value per Share ($)</t>
  </si>
  <si>
    <t>Worst Case</t>
  </si>
  <si>
    <t>Discounted Cash Flows</t>
  </si>
  <si>
    <t>Pick Scenario</t>
  </si>
  <si>
    <t>Implied Share Price</t>
  </si>
  <si>
    <t>Base</t>
  </si>
  <si>
    <t>Best</t>
  </si>
  <si>
    <t>Worst</t>
  </si>
  <si>
    <t>Indirect Assumptions</t>
  </si>
  <si>
    <t>Risk Free Rate</t>
  </si>
  <si>
    <t>GRBK Beta</t>
  </si>
  <si>
    <t>Cost of Equity</t>
  </si>
  <si>
    <t>Current Stock Price</t>
  </si>
  <si>
    <t>Shares Outstanding</t>
  </si>
  <si>
    <t>Equity Value</t>
  </si>
  <si>
    <t>Pre-Tax Cost of Debt</t>
  </si>
  <si>
    <t>After-Tax Cost of Debt</t>
  </si>
  <si>
    <t>Debt Value</t>
  </si>
  <si>
    <t>Current Prefered Stock Price</t>
  </si>
  <si>
    <t>Perfered Shares Outstanding</t>
  </si>
  <si>
    <t>Prefered Stock Value</t>
  </si>
  <si>
    <t>Cost of Preferd Stock</t>
  </si>
  <si>
    <t>Total Capitalization</t>
  </si>
  <si>
    <t>Base Assumptions</t>
  </si>
  <si>
    <t>Adj. Formula</t>
  </si>
  <si>
    <t>Tax Rate</t>
  </si>
  <si>
    <t>WACC</t>
  </si>
  <si>
    <t>Terminal WACC</t>
  </si>
  <si>
    <t>Terminal Growth Rate</t>
  </si>
  <si>
    <t>Best Assumptions</t>
  </si>
  <si>
    <t>Worst Assumptions</t>
  </si>
  <si>
    <t>Net Working Capital Accounts</t>
  </si>
  <si>
    <t>Unlevered Free Cash Flows</t>
  </si>
  <si>
    <t>SG&amp;A</t>
  </si>
  <si>
    <t>EBIT</t>
  </si>
  <si>
    <t>Theoretical Tax Expense</t>
  </si>
  <si>
    <t>NOPAT</t>
  </si>
  <si>
    <t>Plus: Depreciation</t>
  </si>
  <si>
    <t>Less: Capex</t>
  </si>
  <si>
    <t>Net Working Capital</t>
  </si>
  <si>
    <t>Less: Δ Working Capital</t>
  </si>
  <si>
    <t>FCF (unlevered)</t>
  </si>
  <si>
    <t>Terminal Value</t>
  </si>
  <si>
    <t>Discount Factor</t>
  </si>
  <si>
    <t>Present Value</t>
  </si>
  <si>
    <t>Enterprise Value</t>
  </si>
  <si>
    <t>Less: Value of Debt</t>
  </si>
  <si>
    <t>Less: Preferred Interests</t>
  </si>
  <si>
    <t>Less: Non-Controlling Interests</t>
  </si>
  <si>
    <t>Plus: Cash</t>
  </si>
  <si>
    <t>Intrinsic Value</t>
  </si>
  <si>
    <t>Relative Price</t>
  </si>
  <si>
    <t>Terminal Growth and WACC</t>
  </si>
  <si>
    <t>Terminal Growth</t>
  </si>
  <si>
    <t>Gross Margin and Revenue Growth</t>
  </si>
  <si>
    <t>Revenue Growth</t>
  </si>
  <si>
    <t>Relative Valuation</t>
  </si>
  <si>
    <t>U.S. Residential Homebuilders</t>
  </si>
  <si>
    <t>Ticker</t>
  </si>
  <si>
    <t>Market Cap ($Thousands)</t>
  </si>
  <si>
    <t>Price</t>
  </si>
  <si>
    <t>EV</t>
  </si>
  <si>
    <t>Sales</t>
  </si>
  <si>
    <t>Earnings/Share</t>
  </si>
  <si>
    <t>Earnings</t>
  </si>
  <si>
    <t>Book Value</t>
  </si>
  <si>
    <t>EV/EBITDA Multiple</t>
  </si>
  <si>
    <t>P/E GAAP Multiple</t>
  </si>
  <si>
    <t>Enterprise Value Figures ($Thousands)</t>
  </si>
  <si>
    <t>Market Cap</t>
  </si>
  <si>
    <t>TAYLOR MORRISON HOMES</t>
  </si>
  <si>
    <t>TMHC</t>
  </si>
  <si>
    <t>Value of Debt</t>
  </si>
  <si>
    <t>MTH</t>
  </si>
  <si>
    <t>Perfered Interest</t>
  </si>
  <si>
    <t>TPH</t>
  </si>
  <si>
    <t>Non-Controling Interests</t>
  </si>
  <si>
    <t>CCS</t>
  </si>
  <si>
    <t>Cash and Cash Equilivants</t>
  </si>
  <si>
    <t>DREAM FINDERS HOMES</t>
  </si>
  <si>
    <t>DFH</t>
  </si>
  <si>
    <t>LGI HOMES</t>
  </si>
  <si>
    <t>LGIH</t>
  </si>
  <si>
    <t>BEAZER HOMES USA</t>
  </si>
  <si>
    <t>BZH</t>
  </si>
  <si>
    <t>HOVNANIAN ENTERPRISES</t>
  </si>
  <si>
    <t>HOV</t>
  </si>
  <si>
    <t>SMITH DOUGLAS HOMES</t>
  </si>
  <si>
    <t>SDHC</t>
  </si>
  <si>
    <t>Average</t>
  </si>
  <si>
    <t>Median</t>
  </si>
  <si>
    <t>Average Implied GRBK Price</t>
  </si>
  <si>
    <t>Methods</t>
  </si>
  <si>
    <t>1) Weighted avg of senior unsecured note book value yields</t>
  </si>
  <si>
    <t>Fair Value of Notes</t>
  </si>
  <si>
    <t>Inputs found on page 21 of 10-Q</t>
  </si>
  <si>
    <t>Face Value of Note</t>
  </si>
  <si>
    <t>Weighted Average Coupon Rate</t>
  </si>
  <si>
    <t>Coupon Payment</t>
  </si>
  <si>
    <t>Weighted Average Maturity</t>
  </si>
  <si>
    <t>5) Use recent bank loan rate</t>
  </si>
  <si>
    <t>Borrowing on lines of credit minus mortage warehouse lines</t>
  </si>
  <si>
    <t>senior unsecured note</t>
  </si>
  <si>
    <t>Total Debt (according to Flagstar)</t>
  </si>
  <si>
    <t>Leverage ratio to SOFR rate found in December 2025 8K</t>
  </si>
  <si>
    <t>Intangible</t>
  </si>
  <si>
    <t>Tangible Net Worth (according to Flagstar)</t>
  </si>
  <si>
    <t>Leverage ratio</t>
  </si>
  <si>
    <t>Pre-tax Cost of debt</t>
  </si>
  <si>
    <t>6) Use industry cost of debt</t>
  </si>
  <si>
    <t>Damadoran's Homebuilding Cost of Debt</t>
  </si>
  <si>
    <t>Federal Statutory Rate</t>
  </si>
  <si>
    <t>Texas (Central) Tax Rate</t>
  </si>
  <si>
    <t>Central % of Revenue</t>
  </si>
  <si>
    <t>Data from revenue recognition in 10-K</t>
  </si>
  <si>
    <t>Georgia Tax Rate</t>
  </si>
  <si>
    <t>Florida Tax Rate</t>
  </si>
  <si>
    <t>South East % of Revenue</t>
  </si>
  <si>
    <t>Weighted Average Composite Tax Rate</t>
  </si>
  <si>
    <t>Sensitivity Analysis</t>
  </si>
  <si>
    <t>Costs &amp; Revenue</t>
  </si>
  <si>
    <t>%</t>
  </si>
  <si>
    <t>Implied Price</t>
  </si>
  <si>
    <t>Net cash used in operating activities</t>
  </si>
  <si>
    <t>Common-Size Income Statement</t>
  </si>
  <si>
    <t>Fair value change in unrealized gain (loss) on liabilities</t>
  </si>
  <si>
    <t>Change in contingent consideration liability</t>
  </si>
  <si>
    <t>Income Statement</t>
  </si>
  <si>
    <t>Average selling price - 6-year CAGR</t>
  </si>
  <si>
    <t>Revenue - 6-year CAGR</t>
  </si>
  <si>
    <t>Cost of revenue - 6-year CAGR</t>
  </si>
  <si>
    <t>SG&amp;A - 6-year CAGR</t>
  </si>
  <si>
    <t>Inventory - 6-year CAGR</t>
  </si>
  <si>
    <t>Residential Real Estate Revenues</t>
  </si>
  <si>
    <t>Other Revenues</t>
  </si>
  <si>
    <t>Residential Real Estate Cost of Revenues</t>
  </si>
  <si>
    <t>Other Cost of Revenues</t>
  </si>
  <si>
    <t>Total Revenue</t>
  </si>
  <si>
    <t>Total Cost of Revenue</t>
  </si>
  <si>
    <t>Gross Profit</t>
  </si>
  <si>
    <t>Average Price</t>
  </si>
  <si>
    <t>Central Units Delivered</t>
  </si>
  <si>
    <t>Total Homes Delivered</t>
  </si>
  <si>
    <t>Southeast Units Delivered</t>
  </si>
  <si>
    <t>Central Unit's Delivered Growth %</t>
  </si>
  <si>
    <t>Southeast Unit's Delivered Growth %</t>
  </si>
  <si>
    <t>Total Homes Delivered Growth %</t>
  </si>
  <si>
    <t>Average Selling Price Growth %</t>
  </si>
  <si>
    <t>Total Revenue Growth %</t>
  </si>
  <si>
    <t>Operating Margin Standard Deviation</t>
  </si>
  <si>
    <t>Assumptions</t>
  </si>
  <si>
    <t>Analysis</t>
  </si>
  <si>
    <t>Commong Consolidated Statements of Income - USD ($) shares in Thousands</t>
  </si>
  <si>
    <t>Avg 2018–2025E</t>
  </si>
  <si>
    <t>Balance Sheet</t>
  </si>
  <si>
    <t>Liabilities and stockholders’ equity</t>
  </si>
  <si>
    <t>Debt Schedule 1 — Senior Notes Maturities</t>
  </si>
  <si>
    <t>NCI % share</t>
  </si>
  <si>
    <t>Net income attributable to NCI / net income</t>
  </si>
  <si>
    <t>Cash Flows</t>
  </si>
  <si>
    <t>Adjustment to reconcile net income to net cash used in operating activities</t>
  </si>
  <si>
    <t>Distributions to noncontrolling interests / net income attributable to NCI</t>
  </si>
  <si>
    <t>Common-Size Balance Sheet</t>
  </si>
  <si>
    <t>Total Current Liabilities</t>
  </si>
  <si>
    <t>Contingent consideration</t>
  </si>
  <si>
    <t>Quarterly Income Statement</t>
  </si>
  <si>
    <t>4Q25E</t>
  </si>
  <si>
    <t>Per Share Data</t>
  </si>
  <si>
    <t xml:space="preserve">1Q22 </t>
  </si>
  <si>
    <t xml:space="preserve">2Q22 </t>
  </si>
  <si>
    <t xml:space="preserve">3Q22 </t>
  </si>
  <si>
    <t xml:space="preserve">4Q22 </t>
  </si>
  <si>
    <t xml:space="preserve">1Q23 </t>
  </si>
  <si>
    <t xml:space="preserve">2Q23 </t>
  </si>
  <si>
    <t xml:space="preserve">3Q23 </t>
  </si>
  <si>
    <t xml:space="preserve">4Q23 </t>
  </si>
  <si>
    <t xml:space="preserve">1Q24 </t>
  </si>
  <si>
    <t xml:space="preserve">2Q24 </t>
  </si>
  <si>
    <t xml:space="preserve">3Q24 </t>
  </si>
  <si>
    <t xml:space="preserve">4Q24 </t>
  </si>
  <si>
    <t xml:space="preserve">1Q25 </t>
  </si>
  <si>
    <t xml:space="preserve">2Q25 </t>
  </si>
  <si>
    <t xml:space="preserve">3Q25 </t>
  </si>
  <si>
    <t>Quarterly Balance Sheet</t>
  </si>
  <si>
    <t>1Q22</t>
  </si>
  <si>
    <t>2Q22</t>
  </si>
  <si>
    <t>3Q22</t>
  </si>
  <si>
    <t>4Q22</t>
  </si>
  <si>
    <t>1Q23</t>
  </si>
  <si>
    <t>2Q23</t>
  </si>
  <si>
    <t>3Q23</t>
  </si>
  <si>
    <t>4Q23</t>
  </si>
  <si>
    <t>1Q24</t>
  </si>
  <si>
    <t>2Q24</t>
  </si>
  <si>
    <t>3Q24</t>
  </si>
  <si>
    <t>4Q24</t>
  </si>
  <si>
    <t>1Q25</t>
  </si>
  <si>
    <t>2Q25</t>
  </si>
  <si>
    <t>3Q25</t>
  </si>
  <si>
    <t>Investments in Unconsolidated Entities</t>
  </si>
  <si>
    <t>Financial Ratios</t>
  </si>
  <si>
    <t>Profitability Ratios</t>
  </si>
  <si>
    <t>Liquidity Ratios</t>
  </si>
  <si>
    <t>Capital Structure Ratios</t>
  </si>
  <si>
    <t>Coverage Ratios</t>
  </si>
  <si>
    <t>Asset Efficiency</t>
  </si>
  <si>
    <t>Other Financial Ratios</t>
  </si>
  <si>
    <t>(Current Assets−Inventory−Prepaid Expenses)​/Current Liabilities</t>
  </si>
  <si>
    <t>(EBITDA - capital expenditures) / total revenue × 100</t>
  </si>
  <si>
    <t>(EBIT + depreciation and amortization) / total revenue × 100; EBIT includes estimated interest expense</t>
  </si>
  <si>
    <t>(EBIT + depreciation and amortization - capital expenditures) / total revenue × 100</t>
  </si>
  <si>
    <t>EBITDA / total assets × 100</t>
  </si>
  <si>
    <t>EBIT / total assets × 100; EBIT includes estimated interest expense</t>
  </si>
  <si>
    <t>EBITDA / (total assets - current liabilities) × 100</t>
  </si>
  <si>
    <t>(Ending equity - beginning equity) / beginning equity × 100</t>
  </si>
  <si>
    <t>EBIT × (1 - tax rate) - (long-term debt + equity) × WACC</t>
  </si>
  <si>
    <t>Economic value added / (long-term debt + equity + lease liabilities) × 100</t>
  </si>
  <si>
    <t>Net accounts receivable / total revenue × 365</t>
  </si>
  <si>
    <t>Current liabilities / (total operating expenses - depreciation and amortization) × 365</t>
  </si>
  <si>
    <t>Interest-bearing debt / total assets × 100</t>
  </si>
  <si>
    <t>Total equity / total assets × 100</t>
  </si>
  <si>
    <t>Interest-bearing debt / total equity</t>
  </si>
  <si>
    <t>Long-term debt / (long-term debt + total equity) × 100</t>
  </si>
  <si>
    <t>EBIT / estimated interest expense; interest is average interest-bearing debt × pre-tax cost of debt</t>
  </si>
  <si>
    <t>(Net income + depreciation and amortization) / (principal repayments + estimated interest expense)</t>
  </si>
  <si>
    <t>(EBIT + depreciation and amortization) / (estimated interest expense + principal repayments / (1 - tax rate))</t>
  </si>
  <si>
    <t>Cash and equivalents / (principal repayments + estimated interest expense)</t>
  </si>
  <si>
    <t>(Estimated interest expense + depreciation and amortization) / total operating expenses × 100</t>
  </si>
  <si>
    <t>Total revenue / net property and equipment</t>
  </si>
  <si>
    <t>Total cost of revenue / ending inventory</t>
  </si>
  <si>
    <t>Capital expenditures / estimated gross fixed assets × 100; gross fixed assets = net PP&amp;E + cumulative D&amp;A since 2018</t>
  </si>
  <si>
    <t>Long-term investments / cumulative D&amp;A since 2018 × 100 (proxy for accumulated depreciation)</t>
  </si>
  <si>
    <t>Market capitalization / book equity; historical uses latest annual price and future years use the model target price</t>
  </si>
  <si>
    <t>Share price / diluted earnings per share; historical uses latest annual price and future years use the model target price</t>
  </si>
  <si>
    <t>Share price / cash flow per diluted share, where cash flow = net income + D&amp;A</t>
  </si>
  <si>
    <t>Interest-bearing debt / (interest-bearing debt + total equity) × 100</t>
  </si>
  <si>
    <t>Income before income taxes + depreciation and amortization</t>
  </si>
  <si>
    <t>EBITDA / total revenue</t>
  </si>
  <si>
    <t>GREEN BRICK PARTNERS, INC.</t>
  </si>
  <si>
    <t>GRBK</t>
  </si>
  <si>
    <t>Final</t>
  </si>
  <si>
    <t>Final: Average 1 and 5</t>
  </si>
  <si>
    <t>Method 1</t>
  </si>
  <si>
    <t>Method 5</t>
  </si>
  <si>
    <t>Stock Price</t>
  </si>
  <si>
    <t>Supporting Calculations</t>
  </si>
  <si>
    <t>Cash Flow Forecast Drivers</t>
  </si>
  <si>
    <t>Share-based compensation</t>
  </si>
  <si>
    <t>Share-based compensation / revenue</t>
  </si>
  <si>
    <t>Allowances for option deposits and pre-acquisition costs</t>
  </si>
  <si>
    <t>Allowances / revenue</t>
  </si>
  <si>
    <t>Income from equity method investments</t>
  </si>
  <si>
    <t>Cash distributions from unconsolidated entities</t>
  </si>
  <si>
    <t>Cash distributions / equity income</t>
  </si>
  <si>
    <t>Capital expenditures</t>
  </si>
  <si>
    <t>Capital expenditures / revenue</t>
  </si>
  <si>
    <t>Depreciation &amp; Amortization Driver</t>
  </si>
  <si>
    <t>D&amp;A / revenue</t>
  </si>
  <si>
    <t>Accounts Payable Driver</t>
  </si>
  <si>
    <t>Total cost of revenue</t>
  </si>
  <si>
    <t>Accounts payable / cost of revenue</t>
  </si>
  <si>
    <t>Accrued Expenses Driver</t>
  </si>
  <si>
    <t>Selling, general and administrative expense</t>
  </si>
  <si>
    <t>Accrued expenses / SG&amp;A</t>
  </si>
  <si>
    <t>Units -6-year CAGR Forecast</t>
  </si>
  <si>
    <t>Units -4-year CAGR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</si>
</sst>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_);[Red]\(&quot;$&quot;#,##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 numFmtId="168" formatCode="yyyy"/>
    <numFmt numFmtId="169" formatCode="yyyy\E"/>
    <numFmt numFmtId="170" formatCode="0.000"/>
    <numFmt numFmtId="171" formatCode="#,###"/>
    <numFmt numFmtId="172" formatCode="0.0%"/>
    <numFmt numFmtId="173" formatCode="0.00\x"/>
    <numFmt numFmtId="174" formatCode="0.0"/>
    <numFmt numFmtId="175" formatCode="yyyy\-mm\-dd"/>
    <numFmt numFmtId="176" formatCode="0.000000000000000"/>
    <numFmt numFmtId="177" formatCode="0.0000000"/>
    <numFmt numFmtId="178" formatCode="&quot;$&quot;#,##0;\(&quot;$&quot;#,##0\);\-"/>
    <numFmt numFmtId="179" formatCode="&quot;$&quot;#,##0.00;\(&quot;$&quot;#,##0.00\);\-"/>
    <numFmt numFmtId="180" formatCode="#,##0;\(#,##0\);\-"/>
    <numFmt numFmtId="181" formatCode="&quot;$&quot;0.00;\(&quot;$&quot;0.00\);\-"/>
    <numFmt numFmtId="182" formatCode="0.0\%"/>
    <numFmt numFmtId="183" formatCode="&quot;$&quot;#,##0;[Red]\(&quot;$&quot;#,##0\);\-"/>
    <numFmt numFmtId="184" formatCode="0.00&quot;x&quot;"/>
    <numFmt numFmtId="185" formatCode="0.0\ &quot;days&quot;"/>
    <numFmt numFmtId="186" formatCode="#,##0;[Red]\(#,##0\);\-"/>
    <numFmt numFmtId="187" formatCode="0.00%;[Red]\(0.00%\);\-"/>
  </numFmts>
  <fonts count="56">
    <font>
      <sz val="11"/>
      <color theme="1"/>
      <name val="Aptos Narrow"/>
      <family val="2"/>
      <scheme val="minor"/>
    </font>
    <font>
      <sz val="11"/>
      <color theme="1"/>
      <name val="Aptos Narrow"/>
      <family val="2"/>
      <scheme val="minor"/>
    </font>
    <font>
      <b/>
      <sz val="11"/>
      <color theme="1"/>
      <name val="Aptos Narrow"/>
      <family val="2"/>
      <scheme val="minor"/>
    </font>
    <font>
      <sz val="11"/>
      <name val="Calibri"/>
      <family val="2"/>
    </font>
    <font>
      <b/>
      <sz val="12"/>
      <color theme="1"/>
      <name val="Aptos Narrow"/>
      <family val="2"/>
      <scheme val="minor"/>
    </font>
    <font>
      <sz val="11"/>
      <name val="Aptos Narrow"/>
      <family val="2"/>
      <scheme val="minor"/>
    </font>
    <font>
      <b/>
      <sz val="11"/>
      <name val="Calibri"/>
      <family val="2"/>
    </font>
    <font>
      <sz val="9"/>
      <color indexed="81"/>
      <name val="Tahoma"/>
      <family val="2"/>
    </font>
    <font>
      <b/>
      <sz val="9"/>
      <color indexed="81"/>
      <name val="Tahoma"/>
      <family val="2"/>
    </font>
    <font>
      <b/>
      <sz val="11"/>
      <color theme="0"/>
      <name val="Aptos Narrow"/>
      <family val="2"/>
      <scheme val="minor"/>
    </font>
    <font>
      <sz val="11"/>
      <color theme="0"/>
      <name val="Aptos Narrow"/>
      <family val="2"/>
      <scheme val="minor"/>
    </font>
    <font>
      <b/>
      <u/>
      <sz val="11"/>
      <color theme="1"/>
      <name val="Aptos Narrow"/>
      <family val="2"/>
      <scheme val="minor"/>
    </font>
    <font>
      <b/>
      <sz val="10"/>
      <color theme="0"/>
      <name val="Segoe UI"/>
      <family val="2"/>
    </font>
    <font>
      <b/>
      <sz val="12"/>
      <color rgb="FFFFFFFF"/>
      <name val="Aptos Narrow"/>
      <family val="2"/>
      <scheme val="minor"/>
    </font>
    <font>
      <b/>
      <sz val="11"/>
      <color rgb="FFFF0000"/>
      <name val="Aptos Narrow"/>
      <family val="2"/>
      <scheme val="minor"/>
    </font>
    <font>
      <sz val="11"/>
      <color theme="1" tint="0.499984740745262"/>
      <name val="Aptos Narrow"/>
      <family val="2"/>
      <scheme val="minor"/>
    </font>
    <font>
      <sz val="11"/>
      <color rgb="FF5B9BD5"/>
      <name val="Aptos Narrow"/>
      <family val="2"/>
      <scheme val="minor"/>
    </font>
    <font>
      <b/>
      <sz val="7"/>
      <color rgb="FFFFFFFF"/>
      <name val="Arial"/>
      <family val="2"/>
    </font>
    <font>
      <b/>
      <sz val="12"/>
      <color theme="0"/>
      <name val="Aptos Narrow"/>
      <family val="2"/>
      <scheme val="minor"/>
    </font>
    <font>
      <b/>
      <sz val="11"/>
      <color rgb="FF0070C0"/>
      <name val="Aptos Narrow"/>
      <family val="2"/>
      <scheme val="minor"/>
    </font>
    <font>
      <sz val="11"/>
      <color theme="4"/>
      <name val="Aptos Narrow"/>
      <family val="2"/>
      <scheme val="minor"/>
    </font>
    <font>
      <sz val="10"/>
      <color rgb="FF0A0A0A"/>
      <name val="Arial"/>
      <family val="2"/>
    </font>
    <font>
      <b/>
      <sz val="11"/>
      <color rgb="FF7DBD41"/>
      <name val="Aptos Narrow"/>
      <family val="2"/>
      <scheme val="minor"/>
    </font>
    <font>
      <sz val="11"/>
      <color theme="4" tint="-0.249977111117893"/>
      <name val="Aptos Narrow"/>
      <family val="2"/>
      <scheme val="minor"/>
    </font>
    <font>
      <sz val="12"/>
      <name val="Times"/>
    </font>
    <font>
      <sz val="10"/>
      <name val="Geneva"/>
      <family val="2"/>
      <charset val="1"/>
    </font>
    <font>
      <sz val="12"/>
      <name val="Times"/>
      <family val="1"/>
    </font>
    <font>
      <sz val="12"/>
      <color rgb="FF000000"/>
      <name val="Times"/>
    </font>
    <font>
      <i/>
      <sz val="12"/>
      <name val="Times"/>
    </font>
    <font>
      <i/>
      <sz val="11"/>
      <color theme="1"/>
      <name val="Aptos Narrow"/>
      <family val="2"/>
      <scheme val="minor"/>
    </font>
    <font>
      <b/>
      <i/>
      <sz val="11"/>
      <color theme="1"/>
      <name val="Aptos Narrow"/>
      <family val="2"/>
      <scheme val="minor"/>
    </font>
    <font>
      <sz val="11"/>
      <color theme="4" tint="0.39997558519241921"/>
      <name val="Aptos Narrow"/>
      <family val="2"/>
      <scheme val="minor"/>
    </font>
    <font>
      <sz val="11"/>
      <color rgb="FF000000"/>
      <name val="Aptos Narrow"/>
      <family val="2"/>
      <scheme val="minor"/>
    </font>
    <font>
      <b/>
      <sz val="12"/>
      <color rgb="FFFF0000"/>
      <name val="Aptos Narrow"/>
      <family val="2"/>
      <scheme val="minor"/>
    </font>
    <font>
      <b/>
      <sz val="11"/>
      <color rgb="FF000000"/>
      <name val="Aptos Narrow"/>
      <family val="2"/>
      <scheme val="minor"/>
    </font>
    <font>
      <b/>
      <sz val="14"/>
      <color theme="1"/>
      <name val="Aptos Narrow"/>
      <family val="2"/>
      <scheme val="minor"/>
    </font>
    <font>
      <sz val="11"/>
      <color theme="7"/>
      <name val="Aptos Narrow"/>
      <family val="2"/>
      <scheme val="minor"/>
    </font>
    <font>
      <sz val="10"/>
      <name val="Arial"/>
      <family val="2"/>
    </font>
    <font>
      <b/>
      <sz val="11"/>
      <color rgb="FF7DBD41"/>
      <name val="Calibri"/>
      <family val="2"/>
    </font>
    <font>
      <b/>
      <sz val="11"/>
      <color rgb="FF52840F"/>
      <name val="Aptos Narrow"/>
      <family val="2"/>
      <scheme val="minor"/>
    </font>
    <font>
      <b/>
      <sz val="11"/>
      <color rgb="FF52840F"/>
      <name val="Calibri"/>
      <family val="2"/>
    </font>
    <font>
      <sz val="14"/>
      <color theme="1"/>
      <name val="Aptos Narrow"/>
      <family val="2"/>
      <scheme val="minor"/>
    </font>
    <font>
      <sz val="14"/>
      <color rgb="FF000000"/>
      <name val="Aptos Narrow"/>
      <family val="2"/>
      <scheme val="minor"/>
    </font>
    <font>
      <b/>
      <sz val="14"/>
      <name val="Aptos Narrow"/>
      <family val="2"/>
      <scheme val="minor"/>
    </font>
    <font>
      <sz val="8"/>
      <name val="Aptos Narrow"/>
      <family val="2"/>
      <scheme val="minor"/>
    </font>
    <font>
      <b/>
      <u/>
      <sz val="11"/>
      <color rgb="FF000000"/>
      <name val="Aptos Narrow"/>
      <family val="2"/>
      <scheme val="minor"/>
    </font>
    <font>
      <b/>
      <sz val="11"/>
      <color rgb="FFFFFFFF"/>
      <name val="Aptos Narrow"/>
      <family val="2"/>
      <scheme val="minor"/>
    </font>
    <font>
      <b/>
      <sz val="22"/>
      <color rgb="FFFFFFFF"/>
      <name val="Aptos Narrow"/>
      <family val="2"/>
      <scheme val="minor"/>
    </font>
    <font>
      <sz val="11"/>
      <color rgb="FF222222"/>
      <name val="Aptos Narrow"/>
      <family val="2"/>
    </font>
    <font>
      <sz val="11"/>
      <color rgb="FF222222"/>
      <name val="Aptos Narrow"/>
      <family val="2"/>
      <scheme val="minor"/>
    </font>
    <font>
      <i/>
      <sz val="10"/>
      <color rgb="FF666666"/>
      <name val="Aptos Narrow"/>
      <family val="2"/>
    </font>
    <font>
      <i/>
      <sz val="10"/>
      <color rgb="FF666666"/>
      <name val="Aptos Narrow"/>
      <family val="2"/>
      <scheme val="minor"/>
    </font>
    <font>
      <b/>
      <sz val="11"/>
      <color rgb="FF222222"/>
      <name val="Aptos Narrow"/>
      <family val="2"/>
    </font>
    <font>
      <b/>
      <sz val="11"/>
      <color rgb="FF222222"/>
      <name val="Aptos Narrow"/>
      <family val="2"/>
      <scheme val="minor"/>
    </font>
    <font>
      <b/>
      <sz val="15"/>
      <color rgb="FFFF0000"/>
      <name val="Aptos Narrow"/>
      <family val="2"/>
      <scheme val="minor"/>
    </font>
    <font>
      <b/>
      <sz val="15"/>
      <color theme="1"/>
      <name val="Aptos Narrow"/>
      <family val="2"/>
      <scheme val="minor"/>
    </font>
  </fonts>
  <fills count="21">
    <fill>
      <patternFill patternType="none"/>
    </fill>
    <fill>
      <patternFill patternType="gray125"/>
    </fill>
    <fill>
      <patternFill patternType="solid">
        <fgColor theme="6" tint="0.59999389629810485"/>
        <bgColor indexed="64"/>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7DAA53"/>
        <bgColor indexed="64"/>
      </patternFill>
    </fill>
    <fill>
      <patternFill patternType="solid">
        <fgColor rgb="FF7DBD41"/>
        <bgColor indexed="64"/>
      </patternFill>
    </fill>
    <fill>
      <patternFill patternType="solid">
        <fgColor rgb="FFF4F3F3"/>
        <bgColor indexed="64"/>
      </patternFill>
    </fill>
    <fill>
      <patternFill patternType="solid">
        <fgColor theme="0" tint="-4.9989318521683403E-2"/>
        <bgColor indexed="64"/>
      </patternFill>
    </fill>
    <fill>
      <patternFill patternType="solid">
        <fgColor theme="0"/>
        <bgColor indexed="64"/>
      </patternFill>
    </fill>
    <fill>
      <patternFill patternType="solid">
        <fgColor rgb="FFFCD6D6"/>
        <bgColor indexed="64"/>
      </patternFill>
    </fill>
    <fill>
      <patternFill patternType="solid">
        <fgColor rgb="FFFFFFFF"/>
        <bgColor rgb="FF000000"/>
      </patternFill>
    </fill>
    <fill>
      <patternFill patternType="solid">
        <fgColor theme="2"/>
        <bgColor indexed="64"/>
      </patternFill>
    </fill>
    <fill>
      <patternFill patternType="solid">
        <fgColor rgb="FFFFFFFF"/>
        <bgColor indexed="64"/>
      </patternFill>
    </fill>
    <fill>
      <patternFill patternType="solid">
        <fgColor rgb="FFDAF2D0"/>
        <bgColor indexed="64"/>
      </patternFill>
    </fill>
    <fill>
      <patternFill patternType="solid">
        <fgColor rgb="FFF2F2F2"/>
        <bgColor indexed="64"/>
      </patternFill>
    </fill>
    <fill>
      <patternFill patternType="solid">
        <fgColor rgb="FFD9EAD3"/>
        <bgColor indexed="64"/>
      </patternFill>
    </fill>
    <fill>
      <patternFill patternType="solid">
        <fgColor rgb="FF7EAD52"/>
        <bgColor indexed="64"/>
      </patternFill>
    </fill>
  </fills>
  <borders count="73">
    <border>
      <left/>
      <right/>
      <top/>
      <bottom/>
      <diagonal/>
    </border>
    <border>
      <left/>
      <right/>
      <top/>
      <bottom style="thin">
        <color auto="1"/>
      </bottom>
      <diagonal/>
    </border>
    <border>
      <left/>
      <right/>
      <top style="thin">
        <color indexed="64"/>
      </top>
      <bottom style="double">
        <color indexed="64"/>
      </bottom>
      <diagonal/>
    </border>
    <border>
      <left/>
      <right/>
      <top style="thin">
        <color indexed="64"/>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right/>
      <top/>
      <bottom style="medium">
        <color rgb="FF7DBD41"/>
      </bottom>
      <diagonal/>
    </border>
    <border>
      <left/>
      <right/>
      <top style="medium">
        <color rgb="FF7DBD41"/>
      </top>
      <bottom style="medium">
        <color rgb="FF7DBD41"/>
      </bottom>
      <diagonal/>
    </border>
    <border>
      <left style="thin">
        <color auto="1"/>
      </left>
      <right style="thin">
        <color auto="1"/>
      </right>
      <top style="thin">
        <color auto="1"/>
      </top>
      <bottom style="thin">
        <color auto="1"/>
      </bottom>
      <diagonal/>
    </border>
    <border>
      <left style="medium">
        <color indexed="64"/>
      </left>
      <right style="thin">
        <color indexed="64"/>
      </right>
      <top/>
      <bottom/>
      <diagonal/>
    </border>
    <border>
      <left/>
      <right style="medium">
        <color indexed="64"/>
      </right>
      <top/>
      <bottom/>
      <diagonal/>
    </border>
    <border>
      <left/>
      <right/>
      <top style="medium">
        <color auto="1"/>
      </top>
      <bottom style="thin">
        <color indexed="64"/>
      </bottom>
      <diagonal/>
    </border>
    <border>
      <left/>
      <right/>
      <top/>
      <bottom style="medium">
        <color auto="1"/>
      </bottom>
      <diagonal/>
    </border>
    <border>
      <left/>
      <right style="dotted">
        <color auto="1"/>
      </right>
      <top/>
      <bottom/>
      <diagonal/>
    </border>
    <border>
      <left style="medium">
        <color rgb="FF7DBD41"/>
      </left>
      <right/>
      <top/>
      <bottom/>
      <diagonal/>
    </border>
    <border>
      <left/>
      <right/>
      <top style="medium">
        <color rgb="FF7DBD41"/>
      </top>
      <bottom/>
      <diagonal/>
    </border>
    <border>
      <left style="thin">
        <color auto="1"/>
      </left>
      <right style="thin">
        <color auto="1"/>
      </right>
      <top/>
      <bottom/>
      <diagonal/>
    </border>
    <border>
      <left/>
      <right/>
      <top/>
      <bottom style="thin">
        <color rgb="FF000000"/>
      </bottom>
      <diagonal/>
    </border>
    <border>
      <left/>
      <right/>
      <top/>
      <bottom style="double">
        <color rgb="FF000000"/>
      </bottom>
      <diagonal/>
    </border>
    <border>
      <left/>
      <right/>
      <top/>
      <bottom style="medium">
        <color rgb="FF000000"/>
      </bottom>
      <diagonal/>
    </border>
    <border>
      <left/>
      <right/>
      <top/>
      <bottom style="medium">
        <color rgb="FF52840F"/>
      </bottom>
      <diagonal/>
    </border>
    <border>
      <left/>
      <right style="dotted">
        <color theme="1"/>
      </right>
      <top/>
      <bottom/>
      <diagonal/>
    </border>
    <border>
      <left/>
      <right style="dashed">
        <color theme="1" tint="0.499984740745262"/>
      </right>
      <top/>
      <bottom/>
      <diagonal/>
    </border>
    <border>
      <left/>
      <right style="dashed">
        <color theme="1" tint="0.499984740745262"/>
      </right>
      <top/>
      <bottom style="thin">
        <color auto="1"/>
      </bottom>
      <diagonal/>
    </border>
    <border>
      <left/>
      <right style="dashed">
        <color theme="1" tint="0.499984740745262"/>
      </right>
      <top/>
      <bottom style="double">
        <color indexed="64"/>
      </bottom>
      <diagonal/>
    </border>
    <border>
      <left/>
      <right style="dashed">
        <color theme="1" tint="0.499984740745262"/>
      </right>
      <top style="thin">
        <color indexed="64"/>
      </top>
      <bottom/>
      <diagonal/>
    </border>
    <border>
      <left/>
      <right/>
      <top style="double">
        <color indexed="64"/>
      </top>
      <bottom/>
      <diagonal/>
    </border>
    <border>
      <left/>
      <right style="dotted">
        <color theme="1"/>
      </right>
      <top style="thin">
        <color indexed="64"/>
      </top>
      <bottom/>
      <diagonal/>
    </border>
    <border>
      <left/>
      <right style="dotted">
        <color auto="1"/>
      </right>
      <top style="thin">
        <color indexed="64"/>
      </top>
      <bottom/>
      <diagonal/>
    </border>
    <border>
      <left/>
      <right/>
      <top style="thin">
        <color rgb="FF000000"/>
      </top>
      <bottom/>
      <diagonal/>
    </border>
    <border>
      <left/>
      <right/>
      <top style="thin">
        <color rgb="FF000000"/>
      </top>
      <bottom style="thin">
        <color rgb="FF000000"/>
      </bottom>
      <diagonal/>
    </border>
    <border>
      <left/>
      <right/>
      <top style="double">
        <color rgb="FF000000"/>
      </top>
      <bottom/>
      <diagonal/>
    </border>
    <border>
      <left style="dotted">
        <color rgb="FF000000"/>
      </left>
      <right/>
      <top/>
      <bottom/>
      <diagonal/>
    </border>
    <border>
      <left style="dotted">
        <color rgb="FF000000"/>
      </left>
      <right/>
      <top style="thin">
        <color rgb="FF000000"/>
      </top>
      <bottom/>
      <diagonal/>
    </border>
    <border>
      <left style="dotted">
        <color rgb="FF000000"/>
      </left>
      <right/>
      <top style="thin">
        <color rgb="FF000000"/>
      </top>
      <bottom style="thin">
        <color rgb="FF000000"/>
      </bottom>
      <diagonal/>
    </border>
    <border>
      <left/>
      <right style="dotted">
        <color theme="1"/>
      </right>
      <top style="thin">
        <color rgb="FF000000"/>
      </top>
      <bottom/>
      <diagonal/>
    </border>
    <border>
      <left/>
      <right style="dotted">
        <color theme="1"/>
      </right>
      <top style="thin">
        <color rgb="FF000000"/>
      </top>
      <bottom style="thin">
        <color rgb="FF000000"/>
      </bottom>
      <diagonal/>
    </border>
    <border>
      <left/>
      <right/>
      <top style="thin">
        <color rgb="FF7DBD41"/>
      </top>
      <bottom style="thin">
        <color rgb="FF7DBD41"/>
      </bottom>
      <diagonal/>
    </border>
    <border>
      <left/>
      <right/>
      <top/>
      <bottom style="thin">
        <color rgb="FF7DBD41"/>
      </bottom>
      <diagonal/>
    </border>
    <border>
      <left/>
      <right/>
      <top style="thin">
        <color rgb="FF000000"/>
      </top>
      <bottom style="double">
        <color rgb="FF000000"/>
      </bottom>
      <diagonal/>
    </border>
    <border>
      <left style="dotted">
        <color rgb="FF000000"/>
      </left>
      <right/>
      <top style="thin">
        <color rgb="FF7DBD41"/>
      </top>
      <bottom style="thin">
        <color rgb="FF7DBD41"/>
      </bottom>
      <diagonal/>
    </border>
    <border>
      <left style="dotted">
        <color rgb="FF000000"/>
      </left>
      <right/>
      <top style="thin">
        <color rgb="FF000000"/>
      </top>
      <bottom style="double">
        <color rgb="FF000000"/>
      </bottom>
      <diagonal/>
    </border>
    <border>
      <left style="dotted">
        <color rgb="FF000000"/>
      </left>
      <right/>
      <top/>
      <bottom style="thin">
        <color rgb="FF7DBD41"/>
      </bottom>
      <diagonal/>
    </border>
    <border>
      <left/>
      <right style="dotted">
        <color theme="1"/>
      </right>
      <top style="thin">
        <color rgb="FF000000"/>
      </top>
      <bottom style="double">
        <color rgb="FF000000"/>
      </bottom>
      <diagonal/>
    </border>
    <border>
      <left/>
      <right/>
      <top style="medium">
        <color rgb="FF7DBD41"/>
      </top>
      <bottom style="thin">
        <color rgb="FF7DBD41"/>
      </bottom>
      <diagonal/>
    </border>
    <border>
      <left style="dotted">
        <color rgb="FF000000"/>
      </left>
      <right/>
      <top style="medium">
        <color rgb="FF7DBD41"/>
      </top>
      <bottom style="thin">
        <color rgb="FF7DBD41"/>
      </bottom>
      <diagonal/>
    </border>
    <border>
      <left/>
      <right style="dotted">
        <color theme="1"/>
      </right>
      <top/>
      <bottom style="thin">
        <color indexed="64"/>
      </bottom>
      <diagonal/>
    </border>
    <border>
      <left/>
      <right style="dotted">
        <color auto="1"/>
      </right>
      <top/>
      <bottom style="thin">
        <color auto="1"/>
      </bottom>
      <diagonal/>
    </border>
    <border>
      <left/>
      <right/>
      <top style="thin">
        <color rgb="FFFFFFFF"/>
      </top>
      <bottom style="thin">
        <color rgb="FF7DAA53"/>
      </bottom>
      <diagonal/>
    </border>
    <border>
      <left/>
      <right/>
      <top/>
      <bottom style="thin">
        <color rgb="FF7DAA53"/>
      </bottom>
      <diagonal/>
    </border>
    <border>
      <left/>
      <right style="dotted">
        <color rgb="FF808080"/>
      </right>
      <top style="thin">
        <color rgb="FFFFFFFF"/>
      </top>
      <bottom style="thin">
        <color rgb="FF7DAA53"/>
      </bottom>
      <diagonal/>
    </border>
    <border>
      <left/>
      <right style="dotted">
        <color rgb="FF808080"/>
      </right>
      <top/>
      <bottom/>
      <diagonal/>
    </border>
    <border>
      <left/>
      <right style="dotted">
        <color rgb="FF808080"/>
      </right>
      <top/>
      <bottom style="thin">
        <color rgb="FF7DAA53"/>
      </bottom>
      <diagonal/>
    </border>
    <border>
      <left/>
      <right style="dotted">
        <color rgb="FF808080"/>
      </right>
      <top style="thin">
        <color rgb="FF000000"/>
      </top>
      <bottom/>
      <diagonal/>
    </border>
    <border>
      <left/>
      <right style="dotted">
        <color rgb="FF808080"/>
      </right>
      <top style="thin">
        <color indexed="64"/>
      </top>
      <bottom style="double">
        <color indexed="64"/>
      </bottom>
      <diagonal/>
    </border>
    <border>
      <left/>
      <right style="dotted">
        <color rgb="FFB7B7B7"/>
      </right>
      <top/>
      <bottom/>
      <diagonal/>
    </border>
    <border>
      <left/>
      <right style="dotted">
        <color rgb="FFB7B7B7"/>
      </right>
      <top style="thin">
        <color rgb="FF000000"/>
      </top>
      <bottom/>
      <diagonal/>
    </border>
    <border>
      <left/>
      <right style="dotted">
        <color rgb="FFB7B7B7"/>
      </right>
      <top/>
      <bottom style="thin">
        <color rgb="FF7DAA53"/>
      </bottom>
      <diagonal/>
    </border>
    <border>
      <left/>
      <right style="dotted">
        <color rgb="FFB7B7B7"/>
      </right>
      <top style="thin">
        <color indexed="64"/>
      </top>
      <bottom style="double">
        <color indexed="64"/>
      </bottom>
      <diagonal/>
    </border>
    <border>
      <left/>
      <right style="dotted">
        <color rgb="FF000000"/>
      </right>
      <top/>
      <bottom/>
      <diagonal/>
    </border>
    <border>
      <left/>
      <right style="dotted">
        <color rgb="FF000000"/>
      </right>
      <top style="thin">
        <color rgb="FFFFFFFF"/>
      </top>
      <bottom style="thin">
        <color rgb="FF7DAA53"/>
      </bottom>
      <diagonal/>
    </border>
    <border>
      <left/>
      <right style="dotted">
        <color rgb="FF000000"/>
      </right>
      <top style="thin">
        <color rgb="FF000000"/>
      </top>
      <bottom/>
      <diagonal/>
    </border>
    <border>
      <left/>
      <right style="dashed">
        <color theme="1"/>
      </right>
      <top/>
      <bottom/>
      <diagonal/>
    </border>
    <border>
      <left/>
      <right style="dashed">
        <color theme="1"/>
      </right>
      <top style="thin">
        <color rgb="FFFFFFFF"/>
      </top>
      <bottom style="thin">
        <color rgb="FF7DAA53"/>
      </bottom>
      <diagonal/>
    </border>
    <border>
      <left/>
      <right style="dotted">
        <color rgb="FF000000"/>
      </right>
      <top style="thin">
        <color indexed="64"/>
      </top>
      <bottom style="double">
        <color indexed="64"/>
      </bottom>
      <diagonal/>
    </border>
    <border>
      <left/>
      <right/>
      <top/>
      <bottom style="thin">
        <color rgb="FF70AD47"/>
      </bottom>
      <diagonal/>
    </border>
    <border>
      <left style="dotted">
        <color auto="1"/>
      </left>
      <right/>
      <top/>
      <bottom/>
      <diagonal/>
    </border>
    <border>
      <left style="dotted">
        <color rgb="FFA6A6A6"/>
      </left>
      <right/>
      <top/>
      <bottom/>
      <diagonal/>
    </border>
    <border>
      <left style="dotted">
        <color rgb="FFA6A6A6"/>
      </left>
      <right/>
      <top/>
      <bottom style="thin">
        <color rgb="FF70AD47"/>
      </bottom>
      <diagonal/>
    </border>
    <border>
      <left style="dotted">
        <color auto="1"/>
      </left>
      <right/>
      <top/>
      <bottom style="thin">
        <color auto="1"/>
      </bottom>
      <diagonal/>
    </border>
    <border>
      <left/>
      <right/>
      <top/>
      <bottom style="thick">
        <color rgb="FF7DAA53"/>
      </bottom>
      <diagonal/>
    </border>
    <border>
      <left/>
      <right style="dashed">
        <color theme="1" tint="0.499984740745262"/>
      </right>
      <top/>
      <bottom style="thick">
        <color rgb="FF7DAA53"/>
      </bottom>
      <diagonal/>
    </border>
    <border>
      <left/>
      <right style="dotted">
        <color auto="1"/>
      </right>
      <top/>
      <bottom style="double">
        <color indexed="64"/>
      </bottom>
      <diagonal/>
    </border>
  </borders>
  <cellStyleXfs count="12">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0"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9" fontId="25" fillId="0" borderId="0" applyFont="0" applyFill="0" applyBorder="0" applyAlignment="0" applyProtection="0"/>
    <xf numFmtId="0" fontId="25" fillId="0" borderId="0"/>
    <xf numFmtId="0" fontId="1" fillId="0" borderId="0"/>
    <xf numFmtId="0" fontId="37" fillId="0" borderId="0" applyNumberFormat="0" applyFill="0" applyBorder="0" applyAlignment="0" applyProtection="0"/>
  </cellStyleXfs>
  <cellXfs count="523">
    <xf numFmtId="0" fontId="0" fillId="0" borderId="0" xfId="0"/>
    <xf numFmtId="164" fontId="0" fillId="0" borderId="0" xfId="1" applyNumberFormat="1" applyFont="1"/>
    <xf numFmtId="0" fontId="2" fillId="0" borderId="0" xfId="0" applyFont="1"/>
    <xf numFmtId="3" fontId="0" fillId="0" borderId="0" xfId="0" applyNumberFormat="1"/>
    <xf numFmtId="8" fontId="0" fillId="0" borderId="0" xfId="0" applyNumberFormat="1"/>
    <xf numFmtId="0" fontId="0" fillId="0" borderId="1" xfId="0" applyBorder="1"/>
    <xf numFmtId="9" fontId="0" fillId="0" borderId="0" xfId="2" applyFont="1"/>
    <xf numFmtId="6" fontId="0" fillId="0" borderId="0" xfId="0" applyNumberFormat="1"/>
    <xf numFmtId="10" fontId="0" fillId="0" borderId="0" xfId="2" applyNumberFormat="1" applyFont="1"/>
    <xf numFmtId="0" fontId="2" fillId="2" borderId="0" xfId="0" applyFont="1" applyFill="1"/>
    <xf numFmtId="2" fontId="0" fillId="0" borderId="0" xfId="0" applyNumberFormat="1"/>
    <xf numFmtId="9" fontId="0" fillId="0" borderId="0" xfId="0" applyNumberFormat="1"/>
    <xf numFmtId="10" fontId="0" fillId="0" borderId="0" xfId="0" applyNumberFormat="1"/>
    <xf numFmtId="166" fontId="0" fillId="0" borderId="0" xfId="0" applyNumberFormat="1"/>
    <xf numFmtId="0" fontId="0" fillId="8" borderId="0" xfId="0" applyFill="1"/>
    <xf numFmtId="0" fontId="2" fillId="0" borderId="0" xfId="0" applyFont="1" applyAlignment="1">
      <alignment horizontal="center"/>
    </xf>
    <xf numFmtId="0" fontId="0" fillId="0" borderId="5" xfId="0" applyBorder="1" applyAlignment="1">
      <alignment horizontal="center"/>
    </xf>
    <xf numFmtId="0" fontId="13" fillId="9" borderId="0" xfId="0" applyFont="1" applyFill="1" applyAlignment="1">
      <alignment horizontal="center"/>
    </xf>
    <xf numFmtId="167" fontId="10" fillId="0" borderId="0" xfId="0" applyNumberFormat="1" applyFont="1"/>
    <xf numFmtId="167" fontId="14" fillId="0" borderId="0" xfId="0" applyNumberFormat="1" applyFont="1"/>
    <xf numFmtId="0" fontId="0" fillId="10" borderId="0" xfId="0" applyFill="1"/>
    <xf numFmtId="10" fontId="0" fillId="10" borderId="0" xfId="0" applyNumberFormat="1" applyFill="1"/>
    <xf numFmtId="0" fontId="15" fillId="0" borderId="0" xfId="0" applyFont="1"/>
    <xf numFmtId="4" fontId="0" fillId="10" borderId="0" xfId="0" applyNumberFormat="1" applyFill="1"/>
    <xf numFmtId="0" fontId="16" fillId="10" borderId="0" xfId="0" applyFont="1" applyFill="1"/>
    <xf numFmtId="10" fontId="16" fillId="10" borderId="0" xfId="0" applyNumberFormat="1" applyFont="1" applyFill="1"/>
    <xf numFmtId="167" fontId="0" fillId="10" borderId="0" xfId="0" applyNumberFormat="1" applyFill="1"/>
    <xf numFmtId="3" fontId="0" fillId="10" borderId="0" xfId="0" applyNumberFormat="1" applyFill="1"/>
    <xf numFmtId="166" fontId="16" fillId="10" borderId="0" xfId="0" applyNumberFormat="1" applyFont="1" applyFill="1"/>
    <xf numFmtId="6" fontId="15" fillId="0" borderId="0" xfId="0" applyNumberFormat="1" applyFont="1"/>
    <xf numFmtId="0" fontId="5" fillId="10" borderId="0" xfId="0" applyFont="1" applyFill="1"/>
    <xf numFmtId="0" fontId="17" fillId="0" borderId="0" xfId="0" applyFont="1"/>
    <xf numFmtId="10" fontId="16" fillId="10" borderId="0" xfId="2" applyNumberFormat="1" applyFont="1" applyFill="1"/>
    <xf numFmtId="0" fontId="19" fillId="0" borderId="7" xfId="0" applyFont="1" applyBorder="1"/>
    <xf numFmtId="168" fontId="2" fillId="0" borderId="7" xfId="0" applyNumberFormat="1" applyFont="1" applyBorder="1"/>
    <xf numFmtId="169" fontId="2" fillId="11" borderId="7" xfId="0" applyNumberFormat="1" applyFont="1" applyFill="1" applyBorder="1"/>
    <xf numFmtId="0" fontId="0" fillId="12" borderId="0" xfId="0" applyFill="1"/>
    <xf numFmtId="10" fontId="1" fillId="12" borderId="0" xfId="2" applyNumberFormat="1" applyFont="1" applyFill="1"/>
    <xf numFmtId="10" fontId="1" fillId="10" borderId="0" xfId="2" applyNumberFormat="1" applyFont="1" applyFill="1"/>
    <xf numFmtId="10" fontId="1" fillId="12" borderId="0" xfId="2" applyNumberFormat="1" applyFont="1" applyFill="1" applyBorder="1"/>
    <xf numFmtId="10" fontId="1" fillId="10" borderId="0" xfId="2" applyNumberFormat="1" applyFont="1" applyFill="1" applyBorder="1"/>
    <xf numFmtId="0" fontId="16" fillId="12" borderId="0" xfId="0" applyFont="1" applyFill="1"/>
    <xf numFmtId="10" fontId="16" fillId="12" borderId="0" xfId="2" applyNumberFormat="1" applyFont="1" applyFill="1" applyBorder="1"/>
    <xf numFmtId="10" fontId="16" fillId="12" borderId="0" xfId="2" applyNumberFormat="1" applyFont="1" applyFill="1"/>
    <xf numFmtId="10" fontId="0" fillId="12" borderId="0" xfId="0" applyNumberFormat="1" applyFill="1"/>
    <xf numFmtId="169" fontId="2" fillId="7" borderId="7" xfId="0" applyNumberFormat="1" applyFont="1" applyFill="1" applyBorder="1"/>
    <xf numFmtId="10" fontId="1" fillId="7" borderId="0" xfId="2" applyNumberFormat="1" applyFont="1" applyFill="1"/>
    <xf numFmtId="10" fontId="16" fillId="7" borderId="0" xfId="2" applyNumberFormat="1" applyFont="1" applyFill="1"/>
    <xf numFmtId="10" fontId="0" fillId="7" borderId="0" xfId="0" applyNumberFormat="1" applyFill="1"/>
    <xf numFmtId="169" fontId="2" fillId="13" borderId="7" xfId="0" applyNumberFormat="1" applyFont="1" applyFill="1" applyBorder="1"/>
    <xf numFmtId="10" fontId="1" fillId="13" borderId="0" xfId="2" applyNumberFormat="1" applyFont="1" applyFill="1"/>
    <xf numFmtId="10" fontId="16" fillId="13" borderId="0" xfId="2" applyNumberFormat="1" applyFont="1" applyFill="1"/>
    <xf numFmtId="10" fontId="0" fillId="13" borderId="0" xfId="0" applyNumberFormat="1" applyFill="1"/>
    <xf numFmtId="10" fontId="20" fillId="0" borderId="0" xfId="2" applyNumberFormat="1" applyFont="1"/>
    <xf numFmtId="0" fontId="3" fillId="0" borderId="0" xfId="0" applyFont="1" applyAlignment="1">
      <alignment vertical="top"/>
    </xf>
    <xf numFmtId="166" fontId="0" fillId="10" borderId="0" xfId="0" applyNumberFormat="1" applyFill="1"/>
    <xf numFmtId="0" fontId="3" fillId="0" borderId="1" xfId="0" applyFont="1" applyBorder="1" applyAlignment="1">
      <alignment vertical="top"/>
    </xf>
    <xf numFmtId="166" fontId="0" fillId="10" borderId="1" xfId="0" applyNumberFormat="1" applyFill="1" applyBorder="1"/>
    <xf numFmtId="0" fontId="6" fillId="0" borderId="0" xfId="0" applyFont="1" applyAlignment="1">
      <alignment vertical="top"/>
    </xf>
    <xf numFmtId="166" fontId="2" fillId="0" borderId="0" xfId="0" applyNumberFormat="1" applyFont="1"/>
    <xf numFmtId="166" fontId="2" fillId="11" borderId="0" xfId="0" applyNumberFormat="1" applyFont="1" applyFill="1"/>
    <xf numFmtId="0" fontId="2" fillId="0" borderId="1" xfId="0" applyFont="1" applyBorder="1"/>
    <xf numFmtId="166" fontId="2" fillId="11" borderId="1" xfId="0" applyNumberFormat="1" applyFont="1" applyFill="1" applyBorder="1"/>
    <xf numFmtId="0" fontId="21" fillId="0" borderId="4" xfId="0" applyFont="1" applyBorder="1"/>
    <xf numFmtId="167" fontId="0" fillId="0" borderId="0" xfId="0" applyNumberFormat="1"/>
    <xf numFmtId="170" fontId="0" fillId="10" borderId="0" xfId="2" applyNumberFormat="1" applyFont="1" applyFill="1"/>
    <xf numFmtId="0" fontId="2" fillId="0" borderId="3" xfId="0" applyFont="1" applyBorder="1"/>
    <xf numFmtId="166" fontId="2" fillId="10" borderId="3" xfId="0" applyNumberFormat="1" applyFont="1" applyFill="1" applyBorder="1"/>
    <xf numFmtId="0" fontId="0" fillId="0" borderId="4" xfId="0" applyBorder="1"/>
    <xf numFmtId="171" fontId="0" fillId="0" borderId="4" xfId="0" applyNumberFormat="1" applyBorder="1"/>
    <xf numFmtId="10" fontId="22" fillId="0" borderId="0" xfId="2" applyNumberFormat="1" applyFont="1"/>
    <xf numFmtId="166" fontId="0" fillId="0" borderId="0" xfId="2" applyNumberFormat="1" applyFont="1"/>
    <xf numFmtId="167" fontId="0" fillId="0" borderId="0" xfId="0" applyNumberFormat="1" applyAlignment="1">
      <alignment horizontal="center" vertical="center"/>
    </xf>
    <xf numFmtId="172" fontId="23" fillId="0" borderId="0" xfId="0" applyNumberFormat="1" applyFont="1" applyAlignment="1">
      <alignment horizontal="center" vertical="center"/>
    </xf>
    <xf numFmtId="167" fontId="0" fillId="0" borderId="0" xfId="0" applyNumberFormat="1" applyAlignment="1">
      <alignment horizontal="center"/>
    </xf>
    <xf numFmtId="10" fontId="24" fillId="0" borderId="8" xfId="2" applyNumberFormat="1" applyFont="1" applyFill="1" applyBorder="1" applyAlignment="1">
      <alignment horizontal="center"/>
    </xf>
    <xf numFmtId="10" fontId="25" fillId="0" borderId="8" xfId="8" applyNumberFormat="1" applyFont="1" applyBorder="1" applyAlignment="1">
      <alignment horizontal="center"/>
    </xf>
    <xf numFmtId="10" fontId="26" fillId="0" borderId="8" xfId="8" applyNumberFormat="1" applyFont="1" applyBorder="1" applyAlignment="1">
      <alignment horizontal="center"/>
    </xf>
    <xf numFmtId="10" fontId="26" fillId="0" borderId="8" xfId="9" applyNumberFormat="1" applyFont="1" applyBorder="1" applyAlignment="1">
      <alignment horizontal="center"/>
    </xf>
    <xf numFmtId="10" fontId="25" fillId="0" borderId="8" xfId="9" applyNumberFormat="1" applyBorder="1" applyAlignment="1">
      <alignment horizontal="center"/>
    </xf>
    <xf numFmtId="2" fontId="25" fillId="0" borderId="8" xfId="9" applyNumberFormat="1" applyBorder="1" applyAlignment="1">
      <alignment horizontal="center"/>
    </xf>
    <xf numFmtId="0" fontId="24" fillId="0" borderId="8" xfId="0" applyFont="1" applyBorder="1" applyAlignment="1">
      <alignment horizontal="center"/>
    </xf>
    <xf numFmtId="10" fontId="24" fillId="0" borderId="8" xfId="0" applyNumberFormat="1" applyFont="1" applyBorder="1" applyAlignment="1">
      <alignment horizontal="center"/>
    </xf>
    <xf numFmtId="10" fontId="24" fillId="0" borderId="8" xfId="2" applyNumberFormat="1" applyFont="1" applyBorder="1" applyAlignment="1">
      <alignment horizontal="center"/>
    </xf>
    <xf numFmtId="2" fontId="27" fillId="0" borderId="8" xfId="0" applyNumberFormat="1" applyFont="1" applyBorder="1" applyAlignment="1">
      <alignment horizontal="center"/>
    </xf>
    <xf numFmtId="2" fontId="24" fillId="0" borderId="8" xfId="0" applyNumberFormat="1" applyFont="1" applyBorder="1" applyAlignment="1">
      <alignment horizontal="center"/>
    </xf>
    <xf numFmtId="2" fontId="24" fillId="14" borderId="8" xfId="0" applyNumberFormat="1" applyFont="1" applyFill="1" applyBorder="1" applyAlignment="1">
      <alignment horizontal="center"/>
    </xf>
    <xf numFmtId="0" fontId="24" fillId="14" borderId="8" xfId="0" applyFont="1" applyFill="1" applyBorder="1" applyAlignment="1">
      <alignment horizontal="center"/>
    </xf>
    <xf numFmtId="0" fontId="28" fillId="0" borderId="8" xfId="0" applyFont="1" applyBorder="1" applyAlignment="1">
      <alignment horizontal="center"/>
    </xf>
    <xf numFmtId="0" fontId="18" fillId="9" borderId="0" xfId="0" applyFont="1" applyFill="1" applyAlignment="1">
      <alignment horizontal="center"/>
    </xf>
    <xf numFmtId="44" fontId="0" fillId="0" borderId="0" xfId="0" applyNumberFormat="1"/>
    <xf numFmtId="3" fontId="29" fillId="0" borderId="0" xfId="0" applyNumberFormat="1" applyFont="1"/>
    <xf numFmtId="171" fontId="0" fillId="0" borderId="0" xfId="0" applyNumberFormat="1"/>
    <xf numFmtId="0" fontId="29" fillId="0" borderId="0" xfId="0" applyFont="1"/>
    <xf numFmtId="10" fontId="14" fillId="0" borderId="0" xfId="2" applyNumberFormat="1" applyFont="1"/>
    <xf numFmtId="2" fontId="0" fillId="0" borderId="0" xfId="1" applyNumberFormat="1" applyFont="1"/>
    <xf numFmtId="0" fontId="2" fillId="0" borderId="0" xfId="0" applyFont="1" applyAlignment="1">
      <alignment horizontal="center" vertical="center"/>
    </xf>
    <xf numFmtId="0" fontId="31" fillId="0" borderId="0" xfId="0" applyFont="1"/>
    <xf numFmtId="164" fontId="31" fillId="0" borderId="0" xfId="1" applyNumberFormat="1" applyFont="1"/>
    <xf numFmtId="2" fontId="31" fillId="0" borderId="0" xfId="2" applyNumberFormat="1" applyFont="1"/>
    <xf numFmtId="167" fontId="0" fillId="0" borderId="0" xfId="2" applyNumberFormat="1" applyFont="1"/>
    <xf numFmtId="172" fontId="0" fillId="0" borderId="0" xfId="2" applyNumberFormat="1" applyFont="1"/>
    <xf numFmtId="10" fontId="31" fillId="0" borderId="0" xfId="0" applyNumberFormat="1" applyFont="1"/>
    <xf numFmtId="0" fontId="31" fillId="0" borderId="1" xfId="0" applyFont="1" applyBorder="1"/>
    <xf numFmtId="10" fontId="31" fillId="0" borderId="1" xfId="0" applyNumberFormat="1" applyFont="1" applyBorder="1"/>
    <xf numFmtId="2" fontId="0" fillId="0" borderId="0" xfId="2" applyNumberFormat="1" applyFont="1"/>
    <xf numFmtId="0" fontId="32" fillId="0" borderId="0" xfId="0" applyFont="1"/>
    <xf numFmtId="6" fontId="1" fillId="0" borderId="0" xfId="2" applyNumberFormat="1" applyFont="1"/>
    <xf numFmtId="166" fontId="0" fillId="11" borderId="0" xfId="1" applyNumberFormat="1" applyFont="1" applyFill="1"/>
    <xf numFmtId="166" fontId="0" fillId="11" borderId="0" xfId="0" applyNumberFormat="1" applyFill="1"/>
    <xf numFmtId="166" fontId="0" fillId="11" borderId="4" xfId="0" applyNumberFormat="1" applyFill="1" applyBorder="1"/>
    <xf numFmtId="10" fontId="0" fillId="12" borderId="0" xfId="2" applyNumberFormat="1" applyFont="1" applyFill="1"/>
    <xf numFmtId="10" fontId="36" fillId="12" borderId="0" xfId="2" applyNumberFormat="1" applyFont="1" applyFill="1"/>
    <xf numFmtId="10" fontId="0" fillId="0" borderId="15" xfId="0" applyNumberFormat="1" applyBorder="1"/>
    <xf numFmtId="10" fontId="18" fillId="9" borderId="15" xfId="0" applyNumberFormat="1" applyFont="1" applyFill="1" applyBorder="1" applyAlignment="1">
      <alignment horizontal="center"/>
    </xf>
    <xf numFmtId="167" fontId="0" fillId="0" borderId="1" xfId="0" applyNumberFormat="1" applyBorder="1"/>
    <xf numFmtId="0" fontId="1" fillId="12" borderId="0" xfId="5" applyFill="1"/>
    <xf numFmtId="0" fontId="1" fillId="12" borderId="0" xfId="7" applyFill="1"/>
    <xf numFmtId="14" fontId="0" fillId="0" borderId="0" xfId="0" applyNumberFormat="1"/>
    <xf numFmtId="167" fontId="0" fillId="0" borderId="0" xfId="1" applyNumberFormat="1" applyFont="1"/>
    <xf numFmtId="175" fontId="0" fillId="0" borderId="0" xfId="0" applyNumberFormat="1"/>
    <xf numFmtId="0" fontId="2" fillId="0" borderId="8" xfId="0" applyFont="1" applyBorder="1" applyAlignment="1">
      <alignment horizontal="center" vertical="top"/>
    </xf>
    <xf numFmtId="176" fontId="0" fillId="0" borderId="0" xfId="0" applyNumberFormat="1"/>
    <xf numFmtId="0" fontId="2" fillId="0" borderId="16" xfId="0" applyFont="1" applyBorder="1" applyAlignment="1">
      <alignment horizontal="left"/>
    </xf>
    <xf numFmtId="174" fontId="2" fillId="0" borderId="0" xfId="0" applyNumberFormat="1" applyFont="1" applyAlignment="1">
      <alignment horizontal="center" vertical="center"/>
    </xf>
    <xf numFmtId="172" fontId="2" fillId="0" borderId="9" xfId="0" applyNumberFormat="1" applyFont="1" applyBorder="1" applyAlignment="1">
      <alignment horizontal="center" vertical="center"/>
    </xf>
    <xf numFmtId="172" fontId="2" fillId="0" borderId="11" xfId="0" applyNumberFormat="1" applyFont="1" applyBorder="1" applyAlignment="1">
      <alignment horizontal="center" vertical="center"/>
    </xf>
    <xf numFmtId="174" fontId="2" fillId="0" borderId="0" xfId="1" applyNumberFormat="1" applyFont="1" applyAlignment="1">
      <alignment horizontal="center" vertical="center"/>
    </xf>
    <xf numFmtId="0" fontId="0" fillId="0" borderId="6" xfId="0" applyBorder="1"/>
    <xf numFmtId="9" fontId="0" fillId="12" borderId="0" xfId="2" applyFont="1" applyFill="1"/>
    <xf numFmtId="0" fontId="11" fillId="12" borderId="0" xfId="7" applyFont="1" applyFill="1"/>
    <xf numFmtId="0" fontId="2" fillId="12" borderId="0" xfId="4" applyFont="1" applyFill="1"/>
    <xf numFmtId="0" fontId="2" fillId="12" borderId="18" xfId="4" applyFont="1" applyFill="1" applyBorder="1"/>
    <xf numFmtId="0" fontId="2" fillId="12" borderId="17" xfId="5" applyFont="1" applyFill="1" applyBorder="1"/>
    <xf numFmtId="177" fontId="0" fillId="0" borderId="0" xfId="0" applyNumberFormat="1"/>
    <xf numFmtId="3" fontId="0" fillId="12" borderId="0" xfId="0" applyNumberFormat="1" applyFill="1"/>
    <xf numFmtId="0" fontId="2" fillId="12" borderId="0" xfId="7" applyFont="1" applyFill="1"/>
    <xf numFmtId="3" fontId="2" fillId="12" borderId="0" xfId="7" applyNumberFormat="1" applyFont="1" applyFill="1"/>
    <xf numFmtId="3" fontId="1" fillId="12" borderId="0" xfId="5" applyNumberFormat="1" applyFill="1"/>
    <xf numFmtId="0" fontId="1" fillId="12" borderId="0" xfId="5" applyFill="1" applyAlignment="1">
      <alignment wrapText="1"/>
    </xf>
    <xf numFmtId="3" fontId="1" fillId="12" borderId="0" xfId="5" applyNumberFormat="1" applyFill="1" applyAlignment="1">
      <alignment vertical="center" wrapText="1"/>
    </xf>
    <xf numFmtId="0" fontId="1" fillId="12" borderId="0" xfId="5" applyFill="1" applyAlignment="1">
      <alignment vertical="center" wrapText="1"/>
    </xf>
    <xf numFmtId="9" fontId="1" fillId="12" borderId="0" xfId="2" applyFill="1"/>
    <xf numFmtId="3" fontId="1" fillId="12" borderId="0" xfId="5" applyNumberFormat="1" applyFill="1" applyAlignment="1">
      <alignment wrapText="1"/>
    </xf>
    <xf numFmtId="3" fontId="2" fillId="12" borderId="0" xfId="4" applyNumberFormat="1" applyFont="1" applyFill="1"/>
    <xf numFmtId="3" fontId="2" fillId="12" borderId="0" xfId="4" applyNumberFormat="1" applyFont="1" applyFill="1" applyAlignment="1">
      <alignment vertical="center" wrapText="1"/>
    </xf>
    <xf numFmtId="0" fontId="2" fillId="12" borderId="0" xfId="4" applyFont="1" applyFill="1" applyAlignment="1">
      <alignment wrapText="1"/>
    </xf>
    <xf numFmtId="0" fontId="2" fillId="12" borderId="0" xfId="4" applyFont="1" applyFill="1" applyAlignment="1">
      <alignment vertical="center" wrapText="1"/>
    </xf>
    <xf numFmtId="0" fontId="2" fillId="12" borderId="0" xfId="7" applyFont="1" applyFill="1" applyAlignment="1">
      <alignment vertical="center" wrapText="1"/>
    </xf>
    <xf numFmtId="0" fontId="2" fillId="12" borderId="0" xfId="7" applyFont="1" applyFill="1" applyAlignment="1">
      <alignment wrapText="1"/>
    </xf>
    <xf numFmtId="3" fontId="1" fillId="12" borderId="0" xfId="7" applyNumberFormat="1" applyFill="1"/>
    <xf numFmtId="164" fontId="0" fillId="12" borderId="0" xfId="0" applyNumberFormat="1" applyFill="1"/>
    <xf numFmtId="0" fontId="0" fillId="12" borderId="20" xfId="0" applyFill="1" applyBorder="1"/>
    <xf numFmtId="165" fontId="41" fillId="12" borderId="0" xfId="1" applyNumberFormat="1" applyFont="1" applyFill="1"/>
    <xf numFmtId="0" fontId="41" fillId="12" borderId="0" xfId="0" applyFont="1" applyFill="1"/>
    <xf numFmtId="0" fontId="35" fillId="12" borderId="19" xfId="0" applyFont="1" applyFill="1" applyBorder="1"/>
    <xf numFmtId="0" fontId="43" fillId="12" borderId="0" xfId="0" applyFont="1" applyFill="1"/>
    <xf numFmtId="164" fontId="41" fillId="12" borderId="0" xfId="1" applyNumberFormat="1" applyFont="1" applyFill="1"/>
    <xf numFmtId="0" fontId="42" fillId="12" borderId="0" xfId="0" applyFont="1" applyFill="1"/>
    <xf numFmtId="0" fontId="35" fillId="12" borderId="0" xfId="0" applyFont="1" applyFill="1"/>
    <xf numFmtId="0" fontId="1" fillId="12" borderId="0" xfId="5" applyFill="1" applyBorder="1"/>
    <xf numFmtId="0" fontId="2" fillId="12" borderId="0" xfId="4" applyFont="1" applyFill="1" applyBorder="1"/>
    <xf numFmtId="0" fontId="2" fillId="12" borderId="0" xfId="5" applyFont="1" applyFill="1" applyBorder="1"/>
    <xf numFmtId="166" fontId="0" fillId="0" borderId="22" xfId="0" applyNumberFormat="1" applyBorder="1"/>
    <xf numFmtId="166" fontId="0" fillId="0" borderId="23" xfId="0" applyNumberFormat="1" applyBorder="1"/>
    <xf numFmtId="166" fontId="2" fillId="0" borderId="22" xfId="0" applyNumberFormat="1" applyFont="1" applyBorder="1"/>
    <xf numFmtId="166" fontId="2" fillId="0" borderId="23" xfId="0" applyNumberFormat="1" applyFont="1" applyBorder="1"/>
    <xf numFmtId="166" fontId="0" fillId="12" borderId="22" xfId="0" applyNumberFormat="1" applyFill="1" applyBorder="1"/>
    <xf numFmtId="166" fontId="0" fillId="0" borderId="24" xfId="0" applyNumberFormat="1" applyBorder="1"/>
    <xf numFmtId="166" fontId="2" fillId="12" borderId="22" xfId="0" applyNumberFormat="1" applyFont="1" applyFill="1" applyBorder="1"/>
    <xf numFmtId="170" fontId="0" fillId="0" borderId="22" xfId="2" applyNumberFormat="1" applyFont="1" applyBorder="1"/>
    <xf numFmtId="166" fontId="2" fillId="0" borderId="25" xfId="0" applyNumberFormat="1" applyFont="1" applyBorder="1"/>
    <xf numFmtId="164" fontId="41" fillId="12" borderId="0" xfId="1" applyNumberFormat="1" applyFont="1" applyFill="1" applyAlignment="1">
      <alignment horizontal="right"/>
    </xf>
    <xf numFmtId="165" fontId="41" fillId="12" borderId="0" xfId="1" applyNumberFormat="1" applyFont="1" applyFill="1" applyAlignment="1">
      <alignment horizontal="right"/>
    </xf>
    <xf numFmtId="164" fontId="2" fillId="12" borderId="0" xfId="4" applyNumberFormat="1" applyFont="1" applyFill="1" applyBorder="1"/>
    <xf numFmtId="9" fontId="2" fillId="12" borderId="0" xfId="4" applyNumberFormat="1" applyFont="1" applyFill="1" applyBorder="1"/>
    <xf numFmtId="0" fontId="2" fillId="12" borderId="0" xfId="7" applyFont="1" applyFill="1" applyBorder="1"/>
    <xf numFmtId="0" fontId="1" fillId="12" borderId="0" xfId="5" applyFill="1" applyBorder="1" applyAlignment="1">
      <alignment wrapText="1"/>
    </xf>
    <xf numFmtId="0" fontId="1" fillId="12" borderId="0" xfId="7" applyFill="1" applyBorder="1"/>
    <xf numFmtId="0" fontId="32" fillId="16" borderId="0" xfId="0" applyFont="1" applyFill="1"/>
    <xf numFmtId="0" fontId="32" fillId="16" borderId="0" xfId="0" applyFont="1" applyFill="1" applyAlignment="1">
      <alignment indent="1"/>
    </xf>
    <xf numFmtId="0" fontId="32" fillId="12" borderId="0" xfId="0" applyFont="1" applyFill="1"/>
    <xf numFmtId="0" fontId="45" fillId="12" borderId="0" xfId="7" applyFont="1" applyFill="1"/>
    <xf numFmtId="0" fontId="45" fillId="12" borderId="0" xfId="7" applyFont="1" applyFill="1" applyBorder="1"/>
    <xf numFmtId="0" fontId="32" fillId="12" borderId="0" xfId="5" applyFont="1" applyFill="1"/>
    <xf numFmtId="0" fontId="32" fillId="12" borderId="0" xfId="5" applyFont="1" applyFill="1" applyBorder="1"/>
    <xf numFmtId="0" fontId="34" fillId="12" borderId="0" xfId="4" applyFont="1" applyFill="1" applyBorder="1"/>
    <xf numFmtId="0" fontId="34" fillId="12" borderId="0" xfId="4" applyFont="1" applyFill="1"/>
    <xf numFmtId="0" fontId="34" fillId="12" borderId="0" xfId="5" applyFont="1" applyFill="1" applyBorder="1"/>
    <xf numFmtId="10" fontId="32" fillId="12" borderId="0" xfId="0" applyNumberFormat="1" applyFont="1" applyFill="1"/>
    <xf numFmtId="9" fontId="32" fillId="12" borderId="0" xfId="2" applyFont="1" applyFill="1"/>
    <xf numFmtId="164" fontId="32" fillId="0" borderId="0" xfId="1" applyNumberFormat="1" applyFont="1"/>
    <xf numFmtId="0" fontId="47" fillId="8" borderId="0" xfId="0" applyFont="1" applyFill="1"/>
    <xf numFmtId="10" fontId="47" fillId="8" borderId="0" xfId="5" applyNumberFormat="1" applyFont="1" applyFill="1" applyBorder="1" applyAlignment="1">
      <alignment horizontal="center"/>
    </xf>
    <xf numFmtId="0" fontId="47" fillId="8" borderId="0" xfId="5" applyFont="1" applyFill="1" applyBorder="1" applyAlignment="1">
      <alignment horizontal="center"/>
    </xf>
    <xf numFmtId="0" fontId="32" fillId="16" borderId="0" xfId="0" applyFont="1" applyFill="1" applyAlignment="1">
      <alignment horizontal="right"/>
    </xf>
    <xf numFmtId="10" fontId="32" fillId="16" borderId="0" xfId="2" applyNumberFormat="1" applyFont="1" applyFill="1"/>
    <xf numFmtId="172" fontId="32" fillId="16" borderId="0" xfId="2" applyNumberFormat="1" applyFont="1" applyFill="1"/>
    <xf numFmtId="178" fontId="34" fillId="16" borderId="3" xfId="0" applyNumberFormat="1" applyFont="1" applyFill="1" applyBorder="1"/>
    <xf numFmtId="180" fontId="34" fillId="16" borderId="3" xfId="0" applyNumberFormat="1" applyFont="1" applyFill="1" applyBorder="1"/>
    <xf numFmtId="0" fontId="46" fillId="9" borderId="0" xfId="0" applyFont="1" applyFill="1" applyAlignment="1">
      <alignment horizontal="right"/>
    </xf>
    <xf numFmtId="172" fontId="32" fillId="0" borderId="0" xfId="0" applyNumberFormat="1" applyFont="1"/>
    <xf numFmtId="180" fontId="0" fillId="0" borderId="0" xfId="0" applyNumberFormat="1"/>
    <xf numFmtId="0" fontId="0" fillId="16" borderId="0" xfId="0" applyFill="1"/>
    <xf numFmtId="166" fontId="2" fillId="18" borderId="0" xfId="0" applyNumberFormat="1" applyFont="1" applyFill="1"/>
    <xf numFmtId="178" fontId="32" fillId="18" borderId="0" xfId="5" applyNumberFormat="1" applyFont="1" applyFill="1" applyBorder="1" applyAlignment="1">
      <alignment horizontal="right"/>
    </xf>
    <xf numFmtId="178" fontId="32" fillId="18" borderId="0" xfId="5" applyNumberFormat="1" applyFont="1" applyFill="1" applyBorder="1" applyAlignment="1">
      <alignment horizontal="right" vertical="center"/>
    </xf>
    <xf numFmtId="179" fontId="32" fillId="18" borderId="0" xfId="5" applyNumberFormat="1" applyFont="1" applyFill="1" applyBorder="1" applyAlignment="1">
      <alignment horizontal="right"/>
    </xf>
    <xf numFmtId="180" fontId="32" fillId="18" borderId="0" xfId="5" applyNumberFormat="1" applyFont="1" applyFill="1" applyBorder="1" applyAlignment="1">
      <alignment horizontal="right" vertical="center"/>
    </xf>
    <xf numFmtId="178" fontId="32" fillId="0" borderId="0" xfId="5" applyNumberFormat="1" applyFont="1" applyFill="1" applyBorder="1" applyAlignment="1">
      <alignment horizontal="right"/>
    </xf>
    <xf numFmtId="178" fontId="32" fillId="0" borderId="0" xfId="5" applyNumberFormat="1" applyFont="1" applyFill="1" applyBorder="1" applyAlignment="1">
      <alignment horizontal="right" vertical="center"/>
    </xf>
    <xf numFmtId="179" fontId="32" fillId="0" borderId="0" xfId="5" applyNumberFormat="1" applyFont="1" applyFill="1" applyBorder="1" applyAlignment="1">
      <alignment horizontal="right"/>
    </xf>
    <xf numFmtId="180" fontId="32" fillId="0" borderId="0" xfId="5" applyNumberFormat="1" applyFont="1" applyFill="1" applyBorder="1" applyAlignment="1">
      <alignment horizontal="right" vertical="center"/>
    </xf>
    <xf numFmtId="178" fontId="34" fillId="0" borderId="0" xfId="5" applyNumberFormat="1" applyFont="1" applyFill="1" applyBorder="1" applyAlignment="1">
      <alignment horizontal="right" vertical="center"/>
    </xf>
    <xf numFmtId="178" fontId="34" fillId="18" borderId="0" xfId="5" applyNumberFormat="1" applyFont="1" applyFill="1" applyBorder="1" applyAlignment="1">
      <alignment horizontal="right" vertical="center"/>
    </xf>
    <xf numFmtId="165" fontId="34" fillId="0" borderId="0" xfId="5" applyNumberFormat="1" applyFont="1" applyFill="1" applyBorder="1" applyAlignment="1">
      <alignment horizontal="right"/>
    </xf>
    <xf numFmtId="165" fontId="34" fillId="18" borderId="0" xfId="5" applyNumberFormat="1" applyFont="1" applyFill="1" applyBorder="1" applyAlignment="1">
      <alignment horizontal="right"/>
    </xf>
    <xf numFmtId="178" fontId="34" fillId="0" borderId="3" xfId="4" applyNumberFormat="1" applyFont="1" applyFill="1" applyBorder="1" applyAlignment="1">
      <alignment horizontal="right"/>
    </xf>
    <xf numFmtId="178" fontId="34" fillId="18" borderId="3" xfId="4" applyNumberFormat="1" applyFont="1" applyFill="1" applyBorder="1" applyAlignment="1">
      <alignment horizontal="right"/>
    </xf>
    <xf numFmtId="178" fontId="34" fillId="0" borderId="3" xfId="5" applyNumberFormat="1" applyFont="1" applyFill="1" applyBorder="1" applyAlignment="1">
      <alignment horizontal="right"/>
    </xf>
    <xf numFmtId="178" fontId="34" fillId="18" borderId="3" xfId="5" applyNumberFormat="1" applyFont="1" applyFill="1" applyBorder="1" applyAlignment="1">
      <alignment horizontal="right"/>
    </xf>
    <xf numFmtId="178" fontId="34" fillId="0" borderId="3" xfId="5" applyNumberFormat="1" applyFont="1" applyFill="1" applyBorder="1" applyAlignment="1">
      <alignment horizontal="right" vertical="center"/>
    </xf>
    <xf numFmtId="178" fontId="34" fillId="18" borderId="3" xfId="5" applyNumberFormat="1" applyFont="1" applyFill="1" applyBorder="1" applyAlignment="1">
      <alignment horizontal="right" vertical="center"/>
    </xf>
    <xf numFmtId="178" fontId="32" fillId="0" borderId="21" xfId="5" applyNumberFormat="1" applyFont="1" applyFill="1" applyBorder="1" applyAlignment="1">
      <alignment horizontal="right"/>
    </xf>
    <xf numFmtId="178" fontId="34" fillId="0" borderId="27" xfId="4" applyNumberFormat="1" applyFont="1" applyFill="1" applyBorder="1" applyAlignment="1">
      <alignment horizontal="right"/>
    </xf>
    <xf numFmtId="178" fontId="32" fillId="0" borderId="21" xfId="5" applyNumberFormat="1" applyFont="1" applyFill="1" applyBorder="1" applyAlignment="1">
      <alignment horizontal="right" vertical="center"/>
    </xf>
    <xf numFmtId="178" fontId="34" fillId="0" borderId="27" xfId="5" applyNumberFormat="1" applyFont="1" applyFill="1" applyBorder="1" applyAlignment="1">
      <alignment horizontal="right"/>
    </xf>
    <xf numFmtId="178" fontId="34" fillId="0" borderId="27" xfId="5" applyNumberFormat="1" applyFont="1" applyFill="1" applyBorder="1" applyAlignment="1">
      <alignment horizontal="right" vertical="center"/>
    </xf>
    <xf numFmtId="178" fontId="34" fillId="0" borderId="21" xfId="5" applyNumberFormat="1" applyFont="1" applyFill="1" applyBorder="1" applyAlignment="1">
      <alignment horizontal="right" vertical="center"/>
    </xf>
    <xf numFmtId="165" fontId="34" fillId="0" borderId="21" xfId="5" applyNumberFormat="1" applyFont="1" applyFill="1" applyBorder="1" applyAlignment="1">
      <alignment horizontal="right"/>
    </xf>
    <xf numFmtId="179" fontId="32" fillId="0" borderId="21" xfId="5" applyNumberFormat="1" applyFont="1" applyFill="1" applyBorder="1" applyAlignment="1">
      <alignment horizontal="right"/>
    </xf>
    <xf numFmtId="180" fontId="32" fillId="0" borderId="21" xfId="5" applyNumberFormat="1" applyFont="1" applyFill="1" applyBorder="1" applyAlignment="1">
      <alignment horizontal="right" vertical="center"/>
    </xf>
    <xf numFmtId="0" fontId="13" fillId="9" borderId="0" xfId="0" applyFont="1" applyFill="1" applyAlignment="1">
      <alignment horizontal="left"/>
    </xf>
    <xf numFmtId="180" fontId="32" fillId="16" borderId="0" xfId="0" applyNumberFormat="1" applyFont="1" applyFill="1"/>
    <xf numFmtId="178" fontId="32" fillId="16" borderId="0" xfId="0" applyNumberFormat="1" applyFont="1" applyFill="1"/>
    <xf numFmtId="178" fontId="34" fillId="16" borderId="0" xfId="0" applyNumberFormat="1" applyFont="1" applyFill="1"/>
    <xf numFmtId="172" fontId="32" fillId="16" borderId="0" xfId="2" applyNumberFormat="1" applyFont="1" applyFill="1" applyBorder="1"/>
    <xf numFmtId="172" fontId="32" fillId="16" borderId="0" xfId="0" applyNumberFormat="1" applyFont="1" applyFill="1"/>
    <xf numFmtId="180" fontId="32" fillId="18" borderId="0" xfId="0" applyNumberFormat="1" applyFont="1" applyFill="1"/>
    <xf numFmtId="178" fontId="32" fillId="18" borderId="0" xfId="0" applyNumberFormat="1" applyFont="1" applyFill="1"/>
    <xf numFmtId="178" fontId="34" fillId="18" borderId="0" xfId="0" applyNumberFormat="1" applyFont="1" applyFill="1"/>
    <xf numFmtId="172" fontId="32" fillId="18" borderId="0" xfId="2" applyNumberFormat="1" applyFont="1" applyFill="1" applyBorder="1"/>
    <xf numFmtId="178" fontId="34" fillId="18" borderId="3" xfId="0" applyNumberFormat="1" applyFont="1" applyFill="1" applyBorder="1"/>
    <xf numFmtId="0" fontId="13" fillId="9" borderId="0" xfId="0" applyFont="1" applyFill="1" applyAlignment="1">
      <alignment horizontal="right"/>
    </xf>
    <xf numFmtId="180" fontId="34" fillId="18" borderId="3" xfId="0" applyNumberFormat="1" applyFont="1" applyFill="1" applyBorder="1"/>
    <xf numFmtId="0" fontId="13" fillId="9" borderId="13" xfId="0" applyFont="1" applyFill="1" applyBorder="1" applyAlignment="1">
      <alignment horizontal="right"/>
    </xf>
    <xf numFmtId="180" fontId="32" fillId="16" borderId="13" xfId="0" applyNumberFormat="1" applyFont="1" applyFill="1" applyBorder="1"/>
    <xf numFmtId="180" fontId="34" fillId="16" borderId="28" xfId="0" applyNumberFormat="1" applyFont="1" applyFill="1" applyBorder="1"/>
    <xf numFmtId="178" fontId="32" fillId="16" borderId="13" xfId="0" applyNumberFormat="1" applyFont="1" applyFill="1" applyBorder="1"/>
    <xf numFmtId="178" fontId="34" fillId="16" borderId="28" xfId="0" applyNumberFormat="1" applyFont="1" applyFill="1" applyBorder="1"/>
    <xf numFmtId="178" fontId="34" fillId="16" borderId="13" xfId="0" applyNumberFormat="1" applyFont="1" applyFill="1" applyBorder="1"/>
    <xf numFmtId="172" fontId="32" fillId="16" borderId="13" xfId="0" applyNumberFormat="1" applyFont="1" applyFill="1" applyBorder="1"/>
    <xf numFmtId="172" fontId="34" fillId="16" borderId="0" xfId="0" applyNumberFormat="1" applyFont="1" applyFill="1"/>
    <xf numFmtId="172" fontId="34" fillId="18" borderId="0" xfId="0" applyNumberFormat="1" applyFont="1" applyFill="1"/>
    <xf numFmtId="172" fontId="34" fillId="16" borderId="3" xfId="0" applyNumberFormat="1" applyFont="1" applyFill="1" applyBorder="1"/>
    <xf numFmtId="172" fontId="34" fillId="18" borderId="3" xfId="0" applyNumberFormat="1" applyFont="1" applyFill="1" applyBorder="1"/>
    <xf numFmtId="0" fontId="32" fillId="16" borderId="0" xfId="0" applyFont="1" applyFill="1" applyAlignment="1">
      <alignment horizontal="left"/>
    </xf>
    <xf numFmtId="172" fontId="0" fillId="0" borderId="0" xfId="0" applyNumberFormat="1" applyAlignment="1">
      <alignment horizontal="right"/>
    </xf>
    <xf numFmtId="172" fontId="32" fillId="0" borderId="0" xfId="0" applyNumberFormat="1" applyFont="1" applyAlignment="1">
      <alignment horizontal="right"/>
    </xf>
    <xf numFmtId="172" fontId="32" fillId="16" borderId="0" xfId="2" applyNumberFormat="1" applyFont="1" applyFill="1" applyAlignment="1">
      <alignment horizontal="right"/>
    </xf>
    <xf numFmtId="172" fontId="34" fillId="16" borderId="28" xfId="0" applyNumberFormat="1" applyFont="1" applyFill="1" applyBorder="1"/>
    <xf numFmtId="172" fontId="34" fillId="16" borderId="13" xfId="0" applyNumberFormat="1" applyFont="1" applyFill="1" applyBorder="1"/>
    <xf numFmtId="172" fontId="32" fillId="16" borderId="13" xfId="2" applyNumberFormat="1" applyFont="1" applyFill="1" applyBorder="1"/>
    <xf numFmtId="172" fontId="36" fillId="18" borderId="0" xfId="0" applyNumberFormat="1" applyFont="1" applyFill="1"/>
    <xf numFmtId="178" fontId="34" fillId="0" borderId="3" xfId="4" applyNumberFormat="1" applyFont="1" applyFill="1" applyBorder="1" applyAlignment="1">
      <alignment horizontal="left"/>
    </xf>
    <xf numFmtId="178" fontId="34" fillId="0" borderId="3" xfId="5" applyNumberFormat="1" applyFont="1" applyFill="1" applyBorder="1" applyAlignment="1">
      <alignment horizontal="left"/>
    </xf>
    <xf numFmtId="178" fontId="34" fillId="0" borderId="3" xfId="5" applyNumberFormat="1" applyFont="1" applyFill="1" applyBorder="1" applyAlignment="1">
      <alignment horizontal="left" vertical="center"/>
    </xf>
    <xf numFmtId="178" fontId="34" fillId="0" borderId="0" xfId="5" applyNumberFormat="1" applyFont="1" applyFill="1" applyBorder="1" applyAlignment="1">
      <alignment horizontal="left" vertical="center"/>
    </xf>
    <xf numFmtId="10" fontId="32" fillId="12" borderId="0" xfId="0" applyNumberFormat="1" applyFont="1" applyFill="1" applyAlignment="1">
      <alignment horizontal="left"/>
    </xf>
    <xf numFmtId="0" fontId="0" fillId="0" borderId="0" xfId="0" applyAlignment="1">
      <alignment horizontal="left"/>
    </xf>
    <xf numFmtId="0" fontId="34" fillId="16" borderId="3" xfId="0" applyFont="1" applyFill="1" applyBorder="1" applyAlignment="1">
      <alignment horizontal="left"/>
    </xf>
    <xf numFmtId="0" fontId="34" fillId="16" borderId="0" xfId="0" applyFont="1" applyFill="1" applyAlignment="1">
      <alignment horizontal="left"/>
    </xf>
    <xf numFmtId="0" fontId="32" fillId="0" borderId="0" xfId="0" applyFont="1" applyAlignment="1">
      <alignment horizontal="left"/>
    </xf>
    <xf numFmtId="0" fontId="32" fillId="16" borderId="0" xfId="0" applyFont="1" applyFill="1" applyAlignment="1">
      <alignment horizontal="left" indent="1"/>
    </xf>
    <xf numFmtId="10" fontId="32" fillId="16" borderId="0" xfId="0" applyNumberFormat="1" applyFont="1" applyFill="1" applyAlignment="1">
      <alignment horizontal="right"/>
    </xf>
    <xf numFmtId="10" fontId="34" fillId="16" borderId="0" xfId="0" applyNumberFormat="1" applyFont="1" applyFill="1" applyAlignment="1">
      <alignment horizontal="right"/>
    </xf>
    <xf numFmtId="0" fontId="34" fillId="16" borderId="29" xfId="0" applyFont="1" applyFill="1" applyBorder="1" applyAlignment="1">
      <alignment horizontal="left"/>
    </xf>
    <xf numFmtId="10" fontId="34" fillId="16" borderId="29" xfId="0" applyNumberFormat="1" applyFont="1" applyFill="1" applyBorder="1" applyAlignment="1">
      <alignment horizontal="right"/>
    </xf>
    <xf numFmtId="10" fontId="34" fillId="16" borderId="30" xfId="0" applyNumberFormat="1" applyFont="1" applyFill="1" applyBorder="1" applyAlignment="1">
      <alignment horizontal="right"/>
    </xf>
    <xf numFmtId="10" fontId="32" fillId="18" borderId="32" xfId="0" applyNumberFormat="1" applyFont="1" applyFill="1" applyBorder="1" applyAlignment="1">
      <alignment horizontal="right"/>
    </xf>
    <xf numFmtId="10" fontId="34" fillId="18" borderId="33" xfId="0" applyNumberFormat="1" applyFont="1" applyFill="1" applyBorder="1" applyAlignment="1">
      <alignment horizontal="right"/>
    </xf>
    <xf numFmtId="10" fontId="34" fillId="18" borderId="34" xfId="0" applyNumberFormat="1" applyFont="1" applyFill="1" applyBorder="1" applyAlignment="1">
      <alignment horizontal="right"/>
    </xf>
    <xf numFmtId="10" fontId="34" fillId="18" borderId="32" xfId="0" applyNumberFormat="1" applyFont="1" applyFill="1" applyBorder="1" applyAlignment="1">
      <alignment horizontal="right"/>
    </xf>
    <xf numFmtId="0" fontId="32" fillId="0" borderId="0" xfId="0" applyFont="1" applyAlignment="1">
      <alignment horizontal="right"/>
    </xf>
    <xf numFmtId="10" fontId="32" fillId="0" borderId="21" xfId="0" applyNumberFormat="1" applyFont="1" applyBorder="1" applyAlignment="1">
      <alignment horizontal="right"/>
    </xf>
    <xf numFmtId="10" fontId="34" fillId="0" borderId="35" xfId="0" applyNumberFormat="1" applyFont="1" applyBorder="1" applyAlignment="1">
      <alignment horizontal="right"/>
    </xf>
    <xf numFmtId="10" fontId="34" fillId="0" borderId="36" xfId="0" applyNumberFormat="1" applyFont="1" applyBorder="1" applyAlignment="1">
      <alignment horizontal="right"/>
    </xf>
    <xf numFmtId="10" fontId="34" fillId="0" borderId="21" xfId="0" applyNumberFormat="1" applyFont="1" applyBorder="1" applyAlignment="1">
      <alignment horizontal="right"/>
    </xf>
    <xf numFmtId="0" fontId="13" fillId="9" borderId="0" xfId="4" applyFont="1" applyFill="1" applyBorder="1" applyAlignment="1">
      <alignment horizontal="right"/>
    </xf>
    <xf numFmtId="178" fontId="32" fillId="16" borderId="0" xfId="0" applyNumberFormat="1" applyFont="1" applyFill="1" applyAlignment="1">
      <alignment horizontal="right"/>
    </xf>
    <xf numFmtId="0" fontId="46" fillId="9" borderId="0" xfId="0" applyFont="1" applyFill="1" applyAlignment="1">
      <alignment horizontal="left"/>
    </xf>
    <xf numFmtId="0" fontId="47" fillId="8" borderId="0" xfId="0" applyFont="1" applyFill="1" applyAlignment="1">
      <alignment horizontal="left"/>
    </xf>
    <xf numFmtId="0" fontId="47" fillId="8" borderId="0" xfId="0" applyFont="1" applyFill="1" applyAlignment="1">
      <alignment horizontal="right"/>
    </xf>
    <xf numFmtId="0" fontId="34" fillId="17" borderId="37" xfId="0" applyFont="1" applyFill="1" applyBorder="1" applyAlignment="1">
      <alignment horizontal="left"/>
    </xf>
    <xf numFmtId="0" fontId="34" fillId="17" borderId="37" xfId="0" applyFont="1" applyFill="1" applyBorder="1" applyAlignment="1">
      <alignment horizontal="right"/>
    </xf>
    <xf numFmtId="178" fontId="34" fillId="16" borderId="29" xfId="0" applyNumberFormat="1" applyFont="1" applyFill="1" applyBorder="1" applyAlignment="1">
      <alignment horizontal="right"/>
    </xf>
    <xf numFmtId="0" fontId="34" fillId="17" borderId="38" xfId="0" applyFont="1" applyFill="1" applyBorder="1" applyAlignment="1">
      <alignment horizontal="left"/>
    </xf>
    <xf numFmtId="0" fontId="34" fillId="17" borderId="38" xfId="0" applyFont="1" applyFill="1" applyBorder="1" applyAlignment="1">
      <alignment horizontal="right"/>
    </xf>
    <xf numFmtId="0" fontId="34" fillId="16" borderId="39" xfId="0" applyFont="1" applyFill="1" applyBorder="1" applyAlignment="1">
      <alignment horizontal="left"/>
    </xf>
    <xf numFmtId="178" fontId="34" fillId="16" borderId="39" xfId="0" applyNumberFormat="1" applyFont="1" applyFill="1" applyBorder="1" applyAlignment="1">
      <alignment horizontal="right"/>
    </xf>
    <xf numFmtId="178" fontId="32" fillId="18" borderId="0" xfId="0" applyNumberFormat="1" applyFont="1" applyFill="1" applyAlignment="1">
      <alignment horizontal="right"/>
    </xf>
    <xf numFmtId="178" fontId="34" fillId="18" borderId="29" xfId="0" applyNumberFormat="1" applyFont="1" applyFill="1" applyBorder="1" applyAlignment="1">
      <alignment horizontal="right"/>
    </xf>
    <xf numFmtId="178" fontId="34" fillId="18" borderId="39" xfId="0" applyNumberFormat="1" applyFont="1" applyFill="1" applyBorder="1" applyAlignment="1">
      <alignment horizontal="right"/>
    </xf>
    <xf numFmtId="0" fontId="34" fillId="17" borderId="40" xfId="0" applyFont="1" applyFill="1" applyBorder="1" applyAlignment="1">
      <alignment horizontal="right"/>
    </xf>
    <xf numFmtId="178" fontId="32" fillId="18" borderId="32" xfId="0" applyNumberFormat="1" applyFont="1" applyFill="1" applyBorder="1" applyAlignment="1">
      <alignment horizontal="right"/>
    </xf>
    <xf numFmtId="178" fontId="34" fillId="18" borderId="33" xfId="0" applyNumberFormat="1" applyFont="1" applyFill="1" applyBorder="1" applyAlignment="1">
      <alignment horizontal="right"/>
    </xf>
    <xf numFmtId="178" fontId="34" fillId="18" borderId="41" xfId="0" applyNumberFormat="1" applyFont="1" applyFill="1" applyBorder="1" applyAlignment="1">
      <alignment horizontal="right"/>
    </xf>
    <xf numFmtId="0" fontId="34" fillId="17" borderId="42" xfId="0" applyFont="1" applyFill="1" applyBorder="1" applyAlignment="1">
      <alignment horizontal="right"/>
    </xf>
    <xf numFmtId="10" fontId="34" fillId="0" borderId="43" xfId="0" applyNumberFormat="1" applyFont="1" applyBorder="1" applyAlignment="1">
      <alignment horizontal="right"/>
    </xf>
    <xf numFmtId="10" fontId="34" fillId="16" borderId="39" xfId="0" applyNumberFormat="1" applyFont="1" applyFill="1" applyBorder="1" applyAlignment="1">
      <alignment horizontal="right"/>
    </xf>
    <xf numFmtId="10" fontId="34" fillId="18" borderId="41" xfId="0" applyNumberFormat="1" applyFont="1" applyFill="1" applyBorder="1" applyAlignment="1">
      <alignment horizontal="right"/>
    </xf>
    <xf numFmtId="178" fontId="34" fillId="0" borderId="39" xfId="4" applyNumberFormat="1" applyFont="1" applyFill="1" applyBorder="1" applyAlignment="1">
      <alignment horizontal="left"/>
    </xf>
    <xf numFmtId="178" fontId="34" fillId="0" borderId="39" xfId="4" applyNumberFormat="1" applyFont="1" applyFill="1" applyBorder="1" applyAlignment="1">
      <alignment horizontal="right"/>
    </xf>
    <xf numFmtId="178" fontId="34" fillId="0" borderId="43" xfId="4" applyNumberFormat="1" applyFont="1" applyFill="1" applyBorder="1" applyAlignment="1">
      <alignment horizontal="right"/>
    </xf>
    <xf numFmtId="178" fontId="34" fillId="18" borderId="39" xfId="4" applyNumberFormat="1" applyFont="1" applyFill="1" applyBorder="1" applyAlignment="1">
      <alignment horizontal="right"/>
    </xf>
    <xf numFmtId="9" fontId="0" fillId="8" borderId="0" xfId="2" applyFont="1" applyFill="1"/>
    <xf numFmtId="0" fontId="0" fillId="12" borderId="31" xfId="0" applyFill="1" applyBorder="1"/>
    <xf numFmtId="0" fontId="46" fillId="9" borderId="32" xfId="0" applyFont="1" applyFill="1" applyBorder="1" applyAlignment="1">
      <alignment horizontal="right"/>
    </xf>
    <xf numFmtId="0" fontId="13" fillId="9" borderId="44" xfId="0" applyFont="1" applyFill="1" applyBorder="1" applyAlignment="1">
      <alignment horizontal="left"/>
    </xf>
    <xf numFmtId="0" fontId="13" fillId="9" borderId="44" xfId="0" applyFont="1" applyFill="1" applyBorder="1" applyAlignment="1">
      <alignment horizontal="right"/>
    </xf>
    <xf numFmtId="178" fontId="32" fillId="16" borderId="0" xfId="1" applyNumberFormat="1" applyFont="1" applyFill="1" applyBorder="1" applyAlignment="1">
      <alignment horizontal="right"/>
    </xf>
    <xf numFmtId="178" fontId="32" fillId="16" borderId="0" xfId="1" applyNumberFormat="1" applyFont="1" applyFill="1" applyBorder="1" applyAlignment="1">
      <alignment horizontal="right" wrapText="1"/>
    </xf>
    <xf numFmtId="178" fontId="32" fillId="16" borderId="0" xfId="3" applyNumberFormat="1" applyFont="1" applyFill="1" applyBorder="1" applyAlignment="1">
      <alignment horizontal="right"/>
    </xf>
    <xf numFmtId="178" fontId="32" fillId="18" borderId="0" xfId="1" applyNumberFormat="1" applyFont="1" applyFill="1" applyBorder="1" applyAlignment="1">
      <alignment horizontal="right"/>
    </xf>
    <xf numFmtId="178" fontId="34" fillId="16" borderId="0" xfId="1" applyNumberFormat="1" applyFont="1" applyFill="1" applyBorder="1" applyAlignment="1">
      <alignment horizontal="right"/>
    </xf>
    <xf numFmtId="178" fontId="34" fillId="18" borderId="0" xfId="1" applyNumberFormat="1" applyFont="1" applyFill="1" applyBorder="1" applyAlignment="1">
      <alignment horizontal="right"/>
    </xf>
    <xf numFmtId="178" fontId="34" fillId="17" borderId="37" xfId="0" applyNumberFormat="1" applyFont="1" applyFill="1" applyBorder="1" applyAlignment="1">
      <alignment horizontal="left"/>
    </xf>
    <xf numFmtId="178" fontId="34" fillId="17" borderId="37" xfId="1" applyNumberFormat="1" applyFont="1" applyFill="1" applyBorder="1" applyAlignment="1">
      <alignment horizontal="left"/>
    </xf>
    <xf numFmtId="178" fontId="34" fillId="16" borderId="39" xfId="1" applyNumberFormat="1" applyFont="1" applyFill="1" applyBorder="1" applyAlignment="1">
      <alignment horizontal="right"/>
    </xf>
    <xf numFmtId="178" fontId="34" fillId="18" borderId="39" xfId="1" applyNumberFormat="1" applyFont="1" applyFill="1" applyBorder="1" applyAlignment="1">
      <alignment horizontal="right"/>
    </xf>
    <xf numFmtId="178" fontId="34" fillId="17" borderId="38" xfId="1" applyNumberFormat="1" applyFont="1" applyFill="1" applyBorder="1" applyAlignment="1">
      <alignment horizontal="left"/>
    </xf>
    <xf numFmtId="0" fontId="13" fillId="9" borderId="45" xfId="0" applyFont="1" applyFill="1" applyBorder="1" applyAlignment="1">
      <alignment horizontal="right"/>
    </xf>
    <xf numFmtId="178" fontId="34" fillId="18" borderId="32" xfId="1" applyNumberFormat="1" applyFont="1" applyFill="1" applyBorder="1" applyAlignment="1">
      <alignment horizontal="right"/>
    </xf>
    <xf numFmtId="178" fontId="34" fillId="17" borderId="40" xfId="0" applyNumberFormat="1" applyFont="1" applyFill="1" applyBorder="1" applyAlignment="1">
      <alignment horizontal="left"/>
    </xf>
    <xf numFmtId="178" fontId="32" fillId="18" borderId="32" xfId="1" applyNumberFormat="1" applyFont="1" applyFill="1" applyBorder="1" applyAlignment="1">
      <alignment horizontal="right"/>
    </xf>
    <xf numFmtId="178" fontId="34" fillId="17" borderId="40" xfId="1" applyNumberFormat="1" applyFont="1" applyFill="1" applyBorder="1" applyAlignment="1">
      <alignment horizontal="left"/>
    </xf>
    <xf numFmtId="178" fontId="34" fillId="18" borderId="41" xfId="1" applyNumberFormat="1" applyFont="1" applyFill="1" applyBorder="1" applyAlignment="1">
      <alignment horizontal="right"/>
    </xf>
    <xf numFmtId="178" fontId="34" fillId="17" borderId="42" xfId="1" applyNumberFormat="1" applyFont="1" applyFill="1" applyBorder="1" applyAlignment="1">
      <alignment horizontal="left"/>
    </xf>
    <xf numFmtId="0" fontId="41" fillId="12" borderId="0" xfId="0" applyFont="1" applyFill="1" applyAlignment="1">
      <alignment horizontal="left"/>
    </xf>
    <xf numFmtId="0" fontId="1" fillId="0" borderId="0" xfId="6" applyFill="1"/>
    <xf numFmtId="9" fontId="0" fillId="0" borderId="0" xfId="6" applyNumberFormat="1" applyFont="1" applyFill="1"/>
    <xf numFmtId="0" fontId="1" fillId="0" borderId="0" xfId="5" applyFill="1"/>
    <xf numFmtId="9" fontId="0" fillId="0" borderId="0" xfId="5" applyNumberFormat="1" applyFont="1" applyFill="1"/>
    <xf numFmtId="173" fontId="0" fillId="0" borderId="0" xfId="5" applyNumberFormat="1" applyFont="1" applyFill="1"/>
    <xf numFmtId="0" fontId="1" fillId="0" borderId="0" xfId="7" applyFill="1"/>
    <xf numFmtId="0" fontId="0" fillId="0" borderId="0" xfId="6" applyFont="1" applyFill="1" applyBorder="1"/>
    <xf numFmtId="0" fontId="0" fillId="0" borderId="0" xfId="5" applyFont="1" applyFill="1" applyBorder="1"/>
    <xf numFmtId="9" fontId="0" fillId="18" borderId="0" xfId="6" applyNumberFormat="1" applyFont="1" applyFill="1"/>
    <xf numFmtId="9" fontId="0" fillId="18" borderId="0" xfId="5" applyNumberFormat="1" applyFont="1" applyFill="1"/>
    <xf numFmtId="173" fontId="0" fillId="18" borderId="0" xfId="5" applyNumberFormat="1" applyFont="1" applyFill="1"/>
    <xf numFmtId="9" fontId="0" fillId="0" borderId="21" xfId="6" applyNumberFormat="1" applyFont="1" applyFill="1" applyBorder="1"/>
    <xf numFmtId="173" fontId="0" fillId="0" borderId="21" xfId="5" applyNumberFormat="1" applyFont="1" applyFill="1" applyBorder="1"/>
    <xf numFmtId="173" fontId="0" fillId="0" borderId="0" xfId="5" applyNumberFormat="1" applyFont="1" applyFill="1" applyBorder="1"/>
    <xf numFmtId="173" fontId="0" fillId="18" borderId="0" xfId="5" applyNumberFormat="1" applyFont="1" applyFill="1" applyBorder="1"/>
    <xf numFmtId="0" fontId="4" fillId="0" borderId="1" xfId="7" applyFont="1" applyFill="1" applyBorder="1"/>
    <xf numFmtId="0" fontId="38" fillId="0" borderId="1" xfId="0" applyFont="1" applyBorder="1" applyAlignment="1">
      <alignment horizontal="center" vertical="center" wrapText="1"/>
    </xf>
    <xf numFmtId="0" fontId="40" fillId="0" borderId="1" xfId="0" applyFont="1" applyBorder="1" applyAlignment="1">
      <alignment horizontal="center" wrapText="1"/>
    </xf>
    <xf numFmtId="0" fontId="39" fillId="18" borderId="1" xfId="7" applyFont="1" applyFill="1" applyBorder="1" applyAlignment="1">
      <alignment horizontal="center"/>
    </xf>
    <xf numFmtId="0" fontId="39" fillId="0" borderId="1" xfId="7" applyFont="1" applyFill="1" applyBorder="1" applyAlignment="1">
      <alignment horizontal="center"/>
    </xf>
    <xf numFmtId="0" fontId="38" fillId="0" borderId="47" xfId="0" applyFont="1" applyBorder="1" applyAlignment="1">
      <alignment horizontal="center" vertical="center" wrapText="1"/>
    </xf>
    <xf numFmtId="9" fontId="0" fillId="0" borderId="13" xfId="6" applyNumberFormat="1" applyFont="1" applyFill="1" applyBorder="1"/>
    <xf numFmtId="0" fontId="22" fillId="18" borderId="1" xfId="7" applyFont="1" applyFill="1" applyBorder="1" applyAlignment="1">
      <alignment horizontal="center" vertical="center" wrapText="1"/>
    </xf>
    <xf numFmtId="0" fontId="22" fillId="18" borderId="1" xfId="7" applyFont="1" applyFill="1" applyBorder="1" applyAlignment="1">
      <alignment horizontal="center"/>
    </xf>
    <xf numFmtId="0" fontId="32" fillId="16" borderId="0" xfId="0" applyFont="1" applyFill="1" applyAlignment="1">
      <alignment horizontal="left" vertical="center"/>
    </xf>
    <xf numFmtId="0" fontId="32" fillId="16" borderId="0" xfId="0" applyFont="1" applyFill="1" applyAlignment="1">
      <alignment horizontal="right" vertical="center"/>
    </xf>
    <xf numFmtId="0" fontId="32" fillId="16" borderId="0" xfId="0" applyFont="1" applyFill="1" applyAlignment="1">
      <alignment horizontal="left" vertical="center" indent="1"/>
    </xf>
    <xf numFmtId="10" fontId="32" fillId="16" borderId="0" xfId="0" applyNumberFormat="1" applyFont="1" applyFill="1" applyAlignment="1">
      <alignment horizontal="right" vertical="center"/>
    </xf>
    <xf numFmtId="10" fontId="32" fillId="18" borderId="0" xfId="0" applyNumberFormat="1" applyFont="1" applyFill="1" applyAlignment="1">
      <alignment horizontal="right" vertical="center"/>
    </xf>
    <xf numFmtId="0" fontId="47" fillId="8" borderId="0" xfId="0" applyFont="1" applyFill="1" applyAlignment="1">
      <alignment horizontal="left" vertical="center"/>
    </xf>
    <xf numFmtId="0" fontId="34" fillId="17" borderId="48" xfId="0" applyFont="1" applyFill="1" applyBorder="1" applyAlignment="1">
      <alignment horizontal="left" vertical="center"/>
    </xf>
    <xf numFmtId="10" fontId="34" fillId="17" borderId="48" xfId="0" applyNumberFormat="1" applyFont="1" applyFill="1" applyBorder="1" applyAlignment="1">
      <alignment horizontal="right" vertical="center"/>
    </xf>
    <xf numFmtId="0" fontId="34" fillId="17" borderId="49" xfId="0" applyFont="1" applyFill="1" applyBorder="1" applyAlignment="1">
      <alignment horizontal="left" vertical="center"/>
    </xf>
    <xf numFmtId="10" fontId="34" fillId="17" borderId="49" xfId="0" applyNumberFormat="1" applyFont="1" applyFill="1" applyBorder="1" applyAlignment="1">
      <alignment horizontal="right" vertical="center"/>
    </xf>
    <xf numFmtId="10" fontId="34" fillId="17" borderId="50" xfId="0" applyNumberFormat="1" applyFont="1" applyFill="1" applyBorder="1" applyAlignment="1">
      <alignment horizontal="right" vertical="center"/>
    </xf>
    <xf numFmtId="10" fontId="32" fillId="16" borderId="51" xfId="0" applyNumberFormat="1" applyFont="1" applyFill="1" applyBorder="1" applyAlignment="1">
      <alignment horizontal="right" vertical="center"/>
    </xf>
    <xf numFmtId="10" fontId="34" fillId="17" borderId="52" xfId="0" applyNumberFormat="1" applyFont="1" applyFill="1" applyBorder="1" applyAlignment="1">
      <alignment horizontal="right" vertical="center"/>
    </xf>
    <xf numFmtId="0" fontId="34" fillId="16" borderId="29" xfId="0" applyFont="1" applyFill="1" applyBorder="1" applyAlignment="1">
      <alignment horizontal="left" vertical="center"/>
    </xf>
    <xf numFmtId="10" fontId="34" fillId="16" borderId="53" xfId="0" applyNumberFormat="1" applyFont="1" applyFill="1" applyBorder="1" applyAlignment="1">
      <alignment horizontal="right" vertical="center"/>
    </xf>
    <xf numFmtId="10" fontId="34" fillId="16" borderId="29" xfId="0" applyNumberFormat="1" applyFont="1" applyFill="1" applyBorder="1" applyAlignment="1">
      <alignment horizontal="right" vertical="center"/>
    </xf>
    <xf numFmtId="10" fontId="34" fillId="18" borderId="29" xfId="0" applyNumberFormat="1" applyFont="1" applyFill="1" applyBorder="1" applyAlignment="1">
      <alignment horizontal="right" vertical="center"/>
    </xf>
    <xf numFmtId="0" fontId="13" fillId="9" borderId="0" xfId="0" applyFont="1" applyFill="1" applyAlignment="1">
      <alignment horizontal="left" vertical="center"/>
    </xf>
    <xf numFmtId="0" fontId="13" fillId="9" borderId="51" xfId="0" applyFont="1" applyFill="1" applyBorder="1" applyAlignment="1">
      <alignment horizontal="center" vertical="center"/>
    </xf>
    <xf numFmtId="0" fontId="13" fillId="9" borderId="0" xfId="0" applyFont="1" applyFill="1" applyAlignment="1">
      <alignment horizontal="center" vertical="center"/>
    </xf>
    <xf numFmtId="0" fontId="34" fillId="16" borderId="2" xfId="0" applyFont="1" applyFill="1" applyBorder="1" applyAlignment="1">
      <alignment horizontal="left" vertical="center"/>
    </xf>
    <xf numFmtId="10" fontId="34" fillId="16" borderId="54" xfId="0" applyNumberFormat="1" applyFont="1" applyFill="1" applyBorder="1" applyAlignment="1">
      <alignment horizontal="right" vertical="center"/>
    </xf>
    <xf numFmtId="10" fontId="34" fillId="16" borderId="2" xfId="0" applyNumberFormat="1" applyFont="1" applyFill="1" applyBorder="1" applyAlignment="1">
      <alignment horizontal="right" vertical="center"/>
    </xf>
    <xf numFmtId="10" fontId="34" fillId="18" borderId="2" xfId="0" applyNumberFormat="1" applyFont="1" applyFill="1" applyBorder="1" applyAlignment="1">
      <alignment horizontal="right" vertical="center"/>
    </xf>
    <xf numFmtId="178" fontId="32" fillId="16" borderId="0" xfId="0" applyNumberFormat="1" applyFont="1" applyFill="1" applyAlignment="1">
      <alignment horizontal="right" vertical="center"/>
    </xf>
    <xf numFmtId="181" fontId="32" fillId="16" borderId="0" xfId="0" applyNumberFormat="1" applyFont="1" applyFill="1" applyAlignment="1">
      <alignment horizontal="right" vertical="center"/>
    </xf>
    <xf numFmtId="180" fontId="32" fillId="16" borderId="0" xfId="0" applyNumberFormat="1" applyFont="1" applyFill="1" applyAlignment="1">
      <alignment horizontal="right" vertical="center"/>
    </xf>
    <xf numFmtId="178" fontId="32" fillId="16" borderId="55" xfId="0" applyNumberFormat="1" applyFont="1" applyFill="1" applyBorder="1" applyAlignment="1">
      <alignment horizontal="right" vertical="center"/>
    </xf>
    <xf numFmtId="181" fontId="32" fillId="16" borderId="55" xfId="0" applyNumberFormat="1" applyFont="1" applyFill="1" applyBorder="1" applyAlignment="1">
      <alignment horizontal="right" vertical="center"/>
    </xf>
    <xf numFmtId="180" fontId="32" fillId="16" borderId="55" xfId="0" applyNumberFormat="1" applyFont="1" applyFill="1" applyBorder="1" applyAlignment="1">
      <alignment horizontal="right" vertical="center"/>
    </xf>
    <xf numFmtId="178" fontId="32" fillId="16" borderId="51" xfId="0" applyNumberFormat="1" applyFont="1" applyFill="1" applyBorder="1" applyAlignment="1">
      <alignment horizontal="right" vertical="center"/>
    </xf>
    <xf numFmtId="181" fontId="32" fillId="16" borderId="51" xfId="0" applyNumberFormat="1" applyFont="1" applyFill="1" applyBorder="1" applyAlignment="1">
      <alignment horizontal="right" vertical="center"/>
    </xf>
    <xf numFmtId="180" fontId="32" fillId="16" borderId="51" xfId="0" applyNumberFormat="1" applyFont="1" applyFill="1" applyBorder="1" applyAlignment="1">
      <alignment horizontal="right" vertical="center"/>
    </xf>
    <xf numFmtId="178" fontId="34" fillId="16" borderId="29" xfId="0" applyNumberFormat="1" applyFont="1" applyFill="1" applyBorder="1" applyAlignment="1">
      <alignment horizontal="right" vertical="center"/>
    </xf>
    <xf numFmtId="178" fontId="34" fillId="16" borderId="56" xfId="0" applyNumberFormat="1" applyFont="1" applyFill="1" applyBorder="1" applyAlignment="1">
      <alignment horizontal="right" vertical="center"/>
    </xf>
    <xf numFmtId="178" fontId="34" fillId="16" borderId="53" xfId="0" applyNumberFormat="1" applyFont="1" applyFill="1" applyBorder="1" applyAlignment="1">
      <alignment horizontal="right" vertical="center"/>
    </xf>
    <xf numFmtId="0" fontId="34" fillId="17" borderId="49" xfId="0" applyFont="1" applyFill="1" applyBorder="1" applyAlignment="1">
      <alignment horizontal="right" vertical="center"/>
    </xf>
    <xf numFmtId="0" fontId="34" fillId="17" borderId="57" xfId="0" applyFont="1" applyFill="1" applyBorder="1" applyAlignment="1">
      <alignment horizontal="right" vertical="center"/>
    </xf>
    <xf numFmtId="0" fontId="34" fillId="17" borderId="52" xfId="0" applyFont="1" applyFill="1" applyBorder="1" applyAlignment="1">
      <alignment horizontal="right" vertical="center"/>
    </xf>
    <xf numFmtId="178" fontId="32" fillId="0" borderId="0" xfId="0" applyNumberFormat="1" applyFont="1" applyAlignment="1">
      <alignment horizontal="right" vertical="center"/>
    </xf>
    <xf numFmtId="178" fontId="34" fillId="0" borderId="29" xfId="0" applyNumberFormat="1" applyFont="1" applyBorder="1" applyAlignment="1">
      <alignment horizontal="right" vertical="center"/>
    </xf>
    <xf numFmtId="181" fontId="32" fillId="0" borderId="0" xfId="0" applyNumberFormat="1" applyFont="1" applyAlignment="1">
      <alignment horizontal="right" vertical="center"/>
    </xf>
    <xf numFmtId="180" fontId="32" fillId="0" borderId="0" xfId="0" applyNumberFormat="1" applyFont="1" applyAlignment="1">
      <alignment horizontal="right" vertical="center"/>
    </xf>
    <xf numFmtId="178" fontId="34" fillId="16" borderId="2" xfId="0" applyNumberFormat="1" applyFont="1" applyFill="1" applyBorder="1" applyAlignment="1">
      <alignment horizontal="right" vertical="center"/>
    </xf>
    <xf numFmtId="178" fontId="34" fillId="16" borderId="58" xfId="0" applyNumberFormat="1" applyFont="1" applyFill="1" applyBorder="1" applyAlignment="1">
      <alignment horizontal="right" vertical="center"/>
    </xf>
    <xf numFmtId="178" fontId="34" fillId="16" borderId="54" xfId="0" applyNumberFormat="1" applyFont="1" applyFill="1" applyBorder="1" applyAlignment="1">
      <alignment horizontal="right" vertical="center"/>
    </xf>
    <xf numFmtId="178" fontId="34" fillId="0" borderId="2" xfId="0" applyNumberFormat="1" applyFont="1" applyBorder="1" applyAlignment="1">
      <alignment horizontal="right" vertical="center"/>
    </xf>
    <xf numFmtId="0" fontId="32" fillId="16" borderId="26" xfId="0" applyFont="1" applyFill="1" applyBorder="1" applyAlignment="1">
      <alignment horizontal="right" vertical="center"/>
    </xf>
    <xf numFmtId="0" fontId="13" fillId="9" borderId="55" xfId="0" applyFont="1" applyFill="1" applyBorder="1" applyAlignment="1">
      <alignment horizontal="center" vertical="center"/>
    </xf>
    <xf numFmtId="0" fontId="0" fillId="9" borderId="0" xfId="0" applyFill="1"/>
    <xf numFmtId="0" fontId="34" fillId="19" borderId="0" xfId="0" applyFont="1" applyFill="1" applyAlignment="1">
      <alignment horizontal="left" vertical="center"/>
    </xf>
    <xf numFmtId="178" fontId="34" fillId="19" borderId="0" xfId="0" applyNumberFormat="1" applyFont="1" applyFill="1" applyAlignment="1">
      <alignment horizontal="right" vertical="center"/>
    </xf>
    <xf numFmtId="178" fontId="32" fillId="18" borderId="0" xfId="0" applyNumberFormat="1" applyFont="1" applyFill="1" applyAlignment="1">
      <alignment horizontal="right" vertical="center"/>
    </xf>
    <xf numFmtId="178" fontId="34" fillId="18" borderId="29" xfId="0" applyNumberFormat="1" applyFont="1" applyFill="1" applyBorder="1" applyAlignment="1">
      <alignment horizontal="right" vertical="center"/>
    </xf>
    <xf numFmtId="178" fontId="34" fillId="0" borderId="0" xfId="4" applyNumberFormat="1" applyFont="1" applyFill="1" applyBorder="1" applyAlignment="1">
      <alignment horizontal="left"/>
    </xf>
    <xf numFmtId="178" fontId="34" fillId="0" borderId="0" xfId="4" applyNumberFormat="1" applyFont="1" applyFill="1" applyBorder="1" applyAlignment="1">
      <alignment horizontal="right"/>
    </xf>
    <xf numFmtId="178" fontId="34" fillId="18" borderId="0" xfId="4" applyNumberFormat="1" applyFont="1" applyFill="1" applyBorder="1" applyAlignment="1">
      <alignment horizontal="right"/>
    </xf>
    <xf numFmtId="178" fontId="32" fillId="0" borderId="1" xfId="5" applyNumberFormat="1" applyFont="1" applyFill="1" applyBorder="1" applyAlignment="1">
      <alignment horizontal="right"/>
    </xf>
    <xf numFmtId="178" fontId="32" fillId="0" borderId="46" xfId="5" applyNumberFormat="1" applyFont="1" applyFill="1" applyBorder="1" applyAlignment="1">
      <alignment horizontal="right"/>
    </xf>
    <xf numFmtId="178" fontId="32" fillId="18" borderId="1" xfId="5" applyNumberFormat="1" applyFont="1" applyFill="1" applyBorder="1" applyAlignment="1">
      <alignment horizontal="right"/>
    </xf>
    <xf numFmtId="0" fontId="32" fillId="16" borderId="1" xfId="0" applyFont="1" applyFill="1" applyBorder="1" applyAlignment="1">
      <alignment horizontal="left" vertical="center" indent="1"/>
    </xf>
    <xf numFmtId="0" fontId="13" fillId="9" borderId="59" xfId="0" applyFont="1" applyFill="1" applyBorder="1" applyAlignment="1">
      <alignment horizontal="center" vertical="center"/>
    </xf>
    <xf numFmtId="10" fontId="34" fillId="17" borderId="60" xfId="0" applyNumberFormat="1" applyFont="1" applyFill="1" applyBorder="1" applyAlignment="1">
      <alignment horizontal="right" vertical="center"/>
    </xf>
    <xf numFmtId="178" fontId="32" fillId="16" borderId="59" xfId="0" applyNumberFormat="1" applyFont="1" applyFill="1" applyBorder="1" applyAlignment="1">
      <alignment horizontal="right" vertical="center"/>
    </xf>
    <xf numFmtId="178" fontId="34" fillId="16" borderId="61" xfId="0" applyNumberFormat="1" applyFont="1" applyFill="1" applyBorder="1" applyAlignment="1">
      <alignment horizontal="right" vertical="center"/>
    </xf>
    <xf numFmtId="178" fontId="34" fillId="19" borderId="59" xfId="0" applyNumberFormat="1" applyFont="1" applyFill="1" applyBorder="1" applyAlignment="1">
      <alignment horizontal="right" vertical="center"/>
    </xf>
    <xf numFmtId="0" fontId="13" fillId="9" borderId="62" xfId="0" applyFont="1" applyFill="1" applyBorder="1" applyAlignment="1">
      <alignment horizontal="center" vertical="center"/>
    </xf>
    <xf numFmtId="10" fontId="34" fillId="17" borderId="63" xfId="0" applyNumberFormat="1" applyFont="1" applyFill="1" applyBorder="1" applyAlignment="1">
      <alignment horizontal="right" vertical="center"/>
    </xf>
    <xf numFmtId="178" fontId="34" fillId="16" borderId="64" xfId="0" applyNumberFormat="1" applyFont="1" applyFill="1" applyBorder="1" applyAlignment="1">
      <alignment horizontal="right" vertical="center"/>
    </xf>
    <xf numFmtId="178" fontId="34" fillId="18" borderId="2" xfId="0" applyNumberFormat="1" applyFont="1" applyFill="1" applyBorder="1" applyAlignment="1">
      <alignment horizontal="right" vertical="center"/>
    </xf>
    <xf numFmtId="2" fontId="46" fillId="20" borderId="0" xfId="0" applyNumberFormat="1" applyFont="1" applyFill="1"/>
    <xf numFmtId="0" fontId="47" fillId="20" borderId="0" xfId="0" applyFont="1" applyFill="1" applyAlignment="1">
      <alignment horizontal="left" vertical="center"/>
    </xf>
    <xf numFmtId="0" fontId="48" fillId="16" borderId="0" xfId="0" applyFont="1" applyFill="1" applyAlignment="1">
      <alignment horizontal="left" vertical="center"/>
    </xf>
    <xf numFmtId="0" fontId="50" fillId="16" borderId="0" xfId="0" applyFont="1" applyFill="1" applyAlignment="1">
      <alignment horizontal="left" vertical="center"/>
    </xf>
    <xf numFmtId="2" fontId="49" fillId="16" borderId="0" xfId="0" applyNumberFormat="1" applyFont="1" applyFill="1" applyAlignment="1">
      <alignment horizontal="right" vertical="center"/>
    </xf>
    <xf numFmtId="0" fontId="49" fillId="16" borderId="0" xfId="0" applyFont="1" applyFill="1" applyAlignment="1">
      <alignment horizontal="left" vertical="center"/>
    </xf>
    <xf numFmtId="0" fontId="51" fillId="16" borderId="0" xfId="0" applyFont="1" applyFill="1" applyAlignment="1">
      <alignment horizontal="left" vertical="center"/>
    </xf>
    <xf numFmtId="172" fontId="49" fillId="16" borderId="0" xfId="0" applyNumberFormat="1" applyFont="1" applyFill="1" applyAlignment="1">
      <alignment horizontal="right" vertical="center"/>
    </xf>
    <xf numFmtId="172" fontId="49" fillId="18" borderId="0" xfId="0" applyNumberFormat="1" applyFont="1" applyFill="1" applyAlignment="1">
      <alignment horizontal="right" vertical="center"/>
    </xf>
    <xf numFmtId="0" fontId="52" fillId="19" borderId="65" xfId="0" applyFont="1" applyFill="1" applyBorder="1" applyAlignment="1">
      <alignment horizontal="left" vertical="center"/>
    </xf>
    <xf numFmtId="2" fontId="53" fillId="19" borderId="65" xfId="0" applyNumberFormat="1" applyFont="1" applyFill="1" applyBorder="1" applyAlignment="1">
      <alignment horizontal="left" vertical="center"/>
    </xf>
    <xf numFmtId="2" fontId="49" fillId="18" borderId="67" xfId="0" applyNumberFormat="1" applyFont="1" applyFill="1" applyBorder="1" applyAlignment="1">
      <alignment horizontal="right" vertical="center"/>
    </xf>
    <xf numFmtId="2" fontId="53" fillId="19" borderId="68" xfId="0" applyNumberFormat="1" applyFont="1" applyFill="1" applyBorder="1" applyAlignment="1">
      <alignment horizontal="left" vertical="center"/>
    </xf>
    <xf numFmtId="172" fontId="49" fillId="18" borderId="67" xfId="0" applyNumberFormat="1" applyFont="1" applyFill="1" applyBorder="1" applyAlignment="1">
      <alignment horizontal="right" vertical="center"/>
    </xf>
    <xf numFmtId="2" fontId="53" fillId="19" borderId="65" xfId="0" applyNumberFormat="1" applyFont="1" applyFill="1" applyBorder="1" applyAlignment="1">
      <alignment horizontal="right" vertical="center"/>
    </xf>
    <xf numFmtId="2" fontId="53" fillId="19" borderId="68" xfId="0" applyNumberFormat="1" applyFont="1" applyFill="1" applyBorder="1" applyAlignment="1">
      <alignment horizontal="right" vertical="center"/>
    </xf>
    <xf numFmtId="182" fontId="49" fillId="16" borderId="0" xfId="0" applyNumberFormat="1" applyFont="1" applyFill="1" applyAlignment="1">
      <alignment horizontal="right" vertical="center"/>
    </xf>
    <xf numFmtId="182" fontId="49" fillId="18" borderId="67" xfId="0" applyNumberFormat="1" applyFont="1" applyFill="1" applyBorder="1" applyAlignment="1">
      <alignment horizontal="right" vertical="center"/>
    </xf>
    <xf numFmtId="182" fontId="49" fillId="18" borderId="0" xfId="0" applyNumberFormat="1" applyFont="1" applyFill="1" applyAlignment="1">
      <alignment horizontal="right" vertical="center"/>
    </xf>
    <xf numFmtId="183" fontId="49" fillId="16" borderId="0" xfId="0" applyNumberFormat="1" applyFont="1" applyFill="1" applyAlignment="1">
      <alignment horizontal="right" vertical="center"/>
    </xf>
    <xf numFmtId="183" fontId="49" fillId="18" borderId="67" xfId="0" applyNumberFormat="1" applyFont="1" applyFill="1" applyBorder="1" applyAlignment="1">
      <alignment horizontal="right" vertical="center"/>
    </xf>
    <xf numFmtId="183" fontId="49" fillId="18" borderId="0" xfId="0" applyNumberFormat="1" applyFont="1" applyFill="1" applyAlignment="1">
      <alignment horizontal="right" vertical="center"/>
    </xf>
    <xf numFmtId="184" fontId="49" fillId="16" borderId="0" xfId="0" applyNumberFormat="1" applyFont="1" applyFill="1" applyAlignment="1">
      <alignment horizontal="right" vertical="center"/>
    </xf>
    <xf numFmtId="184" fontId="49" fillId="18" borderId="67" xfId="0" applyNumberFormat="1" applyFont="1" applyFill="1" applyBorder="1" applyAlignment="1">
      <alignment horizontal="right" vertical="center"/>
    </xf>
    <xf numFmtId="184" fontId="49" fillId="18" borderId="0" xfId="0" applyNumberFormat="1" applyFont="1" applyFill="1" applyAlignment="1">
      <alignment horizontal="right" vertical="center"/>
    </xf>
    <xf numFmtId="185" fontId="49" fillId="16" borderId="0" xfId="0" applyNumberFormat="1" applyFont="1" applyFill="1" applyAlignment="1">
      <alignment horizontal="right" vertical="center"/>
    </xf>
    <xf numFmtId="185" fontId="49" fillId="18" borderId="67" xfId="0" applyNumberFormat="1" applyFont="1" applyFill="1" applyBorder="1" applyAlignment="1">
      <alignment horizontal="right" vertical="center"/>
    </xf>
    <xf numFmtId="185" fontId="49" fillId="18" borderId="0" xfId="0" applyNumberFormat="1" applyFont="1" applyFill="1" applyAlignment="1">
      <alignment horizontal="right" vertical="center"/>
    </xf>
    <xf numFmtId="0" fontId="46" fillId="20" borderId="0" xfId="0" applyFont="1" applyFill="1"/>
    <xf numFmtId="184" fontId="0" fillId="18" borderId="0" xfId="0" applyNumberFormat="1" applyFill="1" applyAlignment="1">
      <alignment horizontal="right" vertical="center"/>
    </xf>
    <xf numFmtId="1" fontId="53" fillId="19" borderId="65" xfId="0" applyNumberFormat="1" applyFont="1" applyFill="1" applyBorder="1" applyAlignment="1">
      <alignment horizontal="right" vertical="center"/>
    </xf>
    <xf numFmtId="9" fontId="0" fillId="18" borderId="66" xfId="6" applyNumberFormat="1" applyFont="1" applyFill="1" applyBorder="1"/>
    <xf numFmtId="0" fontId="39" fillId="18" borderId="69" xfId="7" applyFont="1" applyFill="1" applyBorder="1" applyAlignment="1">
      <alignment horizontal="center" wrapText="1"/>
    </xf>
    <xf numFmtId="173" fontId="0" fillId="18" borderId="66" xfId="5" applyNumberFormat="1" applyFont="1" applyFill="1" applyBorder="1"/>
    <xf numFmtId="0" fontId="39" fillId="18" borderId="69" xfId="7" applyFont="1" applyFill="1" applyBorder="1" applyAlignment="1">
      <alignment horizontal="center"/>
    </xf>
    <xf numFmtId="0" fontId="19" fillId="8" borderId="70" xfId="0" applyFont="1" applyFill="1" applyBorder="1"/>
    <xf numFmtId="169" fontId="9" fillId="8" borderId="70" xfId="0" applyNumberFormat="1" applyFont="1" applyFill="1" applyBorder="1"/>
    <xf numFmtId="168" fontId="9" fillId="8" borderId="71" xfId="0" applyNumberFormat="1" applyFont="1" applyFill="1" applyBorder="1"/>
    <xf numFmtId="0" fontId="18" fillId="9" borderId="0" xfId="0" applyFont="1" applyFill="1"/>
    <xf numFmtId="0" fontId="18" fillId="9" borderId="0" xfId="0" applyFont="1" applyFill="1" applyAlignment="1">
      <alignment horizontal="right"/>
    </xf>
    <xf numFmtId="0" fontId="30" fillId="0" borderId="0" xfId="0" applyFont="1"/>
    <xf numFmtId="0" fontId="18" fillId="9" borderId="13" xfId="0" applyFont="1" applyFill="1" applyBorder="1" applyAlignment="1">
      <alignment horizontal="right"/>
    </xf>
    <xf numFmtId="166" fontId="30" fillId="0" borderId="0" xfId="0" applyNumberFormat="1" applyFont="1" applyAlignment="1">
      <alignment horizontal="right"/>
    </xf>
    <xf numFmtId="167" fontId="30" fillId="0" borderId="0" xfId="0" applyNumberFormat="1" applyFont="1" applyAlignment="1">
      <alignment horizontal="right"/>
    </xf>
    <xf numFmtId="167" fontId="30" fillId="0" borderId="0" xfId="1" applyNumberFormat="1" applyFont="1" applyFill="1" applyBorder="1" applyAlignment="1">
      <alignment horizontal="right"/>
    </xf>
    <xf numFmtId="166" fontId="0" fillId="0" borderId="0" xfId="0" applyNumberFormat="1" applyAlignment="1">
      <alignment horizontal="right"/>
    </xf>
    <xf numFmtId="167" fontId="0" fillId="0" borderId="0" xfId="0" applyNumberFormat="1" applyAlignment="1">
      <alignment horizontal="right"/>
    </xf>
    <xf numFmtId="167" fontId="0" fillId="0" borderId="0" xfId="1" applyNumberFormat="1" applyFont="1" applyFill="1" applyBorder="1" applyAlignment="1">
      <alignment horizontal="right"/>
    </xf>
    <xf numFmtId="173" fontId="0" fillId="0" borderId="0" xfId="0" applyNumberFormat="1" applyAlignment="1">
      <alignment horizontal="right"/>
    </xf>
    <xf numFmtId="173" fontId="30" fillId="0" borderId="0" xfId="0" applyNumberFormat="1" applyFont="1" applyAlignment="1">
      <alignment horizontal="right"/>
    </xf>
    <xf numFmtId="173" fontId="0" fillId="0" borderId="1" xfId="0" applyNumberFormat="1" applyBorder="1" applyAlignment="1">
      <alignment horizontal="right"/>
    </xf>
    <xf numFmtId="173" fontId="0" fillId="0" borderId="3" xfId="0" applyNumberFormat="1" applyBorder="1" applyAlignment="1">
      <alignment horizontal="right"/>
    </xf>
    <xf numFmtId="173" fontId="0" fillId="0" borderId="4" xfId="0" applyNumberFormat="1" applyBorder="1" applyAlignment="1">
      <alignment horizontal="right"/>
    </xf>
    <xf numFmtId="167" fontId="30" fillId="0" borderId="13" xfId="1" applyNumberFormat="1" applyFont="1" applyFill="1" applyBorder="1" applyAlignment="1">
      <alignment horizontal="right"/>
    </xf>
    <xf numFmtId="167" fontId="0" fillId="0" borderId="13" xfId="1" applyNumberFormat="1" applyFont="1" applyFill="1" applyBorder="1" applyAlignment="1">
      <alignment horizontal="right"/>
    </xf>
    <xf numFmtId="0" fontId="4" fillId="0" borderId="13" xfId="0" applyFont="1" applyBorder="1"/>
    <xf numFmtId="167" fontId="2" fillId="0" borderId="0" xfId="0" applyNumberFormat="1" applyFont="1" applyAlignment="1">
      <alignment horizontal="right"/>
    </xf>
    <xf numFmtId="0" fontId="4" fillId="0" borderId="28" xfId="0" applyFont="1" applyBorder="1"/>
    <xf numFmtId="0" fontId="4" fillId="0" borderId="72" xfId="0" applyFont="1" applyBorder="1"/>
    <xf numFmtId="37" fontId="49" fillId="16" borderId="0" xfId="0" applyNumberFormat="1" applyFont="1" applyFill="1" applyAlignment="1">
      <alignment horizontal="right" vertical="center"/>
    </xf>
    <xf numFmtId="10" fontId="2" fillId="0" borderId="0" xfId="2" applyNumberFormat="1" applyFont="1"/>
    <xf numFmtId="10" fontId="2" fillId="0" borderId="1" xfId="2" applyNumberFormat="1" applyFont="1" applyBorder="1"/>
    <xf numFmtId="0" fontId="18" fillId="9" borderId="0" xfId="0" applyFont="1" applyFill="1" applyAlignment="1">
      <alignment horizontal="left"/>
    </xf>
    <xf numFmtId="167" fontId="54" fillId="0" borderId="14" xfId="0" applyNumberFormat="1" applyFont="1" applyBorder="1" applyAlignment="1">
      <alignment vertical="center"/>
    </xf>
    <xf numFmtId="10" fontId="54" fillId="0" borderId="0" xfId="2" applyNumberFormat="1" applyFont="1" applyAlignment="1">
      <alignment vertical="center"/>
    </xf>
    <xf numFmtId="167" fontId="55" fillId="0" borderId="14" xfId="0" applyNumberFormat="1" applyFont="1" applyBorder="1" applyAlignment="1">
      <alignment vertical="center"/>
    </xf>
    <xf numFmtId="10" fontId="55" fillId="0" borderId="0" xfId="2" applyNumberFormat="1" applyFont="1" applyBorder="1" applyAlignment="1">
      <alignment vertical="center"/>
    </xf>
    <xf numFmtId="179" fontId="34" fillId="0" borderId="0" xfId="5" applyNumberFormat="1" applyFont="1" applyFill="1" applyBorder="1" applyAlignment="1">
      <alignment horizontal="left"/>
    </xf>
    <xf numFmtId="187" fontId="32" fillId="0" borderId="0" xfId="0" applyNumberFormat="1" applyFont="1" applyAlignment="1">
      <alignment horizontal="right"/>
    </xf>
    <xf numFmtId="0" fontId="9" fillId="9" borderId="0" xfId="0" applyFont="1" applyFill="1" applyAlignment="1">
      <alignment horizontal="right"/>
    </xf>
    <xf numFmtId="186" fontId="0" fillId="0" borderId="0" xfId="0" applyNumberFormat="1" applyAlignment="1">
      <alignment horizontal="right"/>
    </xf>
    <xf numFmtId="187" fontId="0" fillId="0" borderId="0" xfId="0" applyNumberFormat="1" applyAlignment="1">
      <alignment horizontal="right"/>
    </xf>
    <xf numFmtId="37" fontId="0" fillId="0" borderId="0" xfId="0" applyNumberFormat="1" applyAlignment="1">
      <alignment horizontal="right"/>
    </xf>
    <xf numFmtId="10" fontId="0" fillId="0" borderId="0" xfId="2" applyNumberFormat="1" applyFont="1" applyAlignment="1">
      <alignment horizontal="right"/>
    </xf>
    <xf numFmtId="44" fontId="0" fillId="0" borderId="0" xfId="1" applyFont="1"/>
    <xf numFmtId="167" fontId="33" fillId="0" borderId="0" xfId="0" applyNumberFormat="1" applyFont="1"/>
    <xf numFmtId="0" fontId="18" fillId="9" borderId="0" xfId="0" applyFont="1" applyFill="1" applyAlignment="1">
      <alignment horizontal="center" vertical="center"/>
    </xf>
    <xf numFmtId="0" fontId="12" fillId="9" borderId="0" xfId="0" applyFont="1" applyFill="1" applyAlignment="1">
      <alignment horizontal="center"/>
    </xf>
    <xf numFmtId="0" fontId="2" fillId="0" borderId="0" xfId="0" applyFont="1" applyAlignment="1">
      <alignment horizontal="right" vertical="center" textRotation="90"/>
    </xf>
    <xf numFmtId="0" fontId="13" fillId="9" borderId="0" xfId="0" applyFont="1" applyFill="1" applyAlignment="1">
      <alignment horizontal="center"/>
    </xf>
    <xf numFmtId="0" fontId="13" fillId="8" borderId="70" xfId="0" applyFont="1" applyFill="1" applyBorder="1" applyAlignment="1">
      <alignment horizontal="center"/>
    </xf>
    <xf numFmtId="0" fontId="2" fillId="0" borderId="1" xfId="0" applyFont="1" applyBorder="1" applyAlignment="1">
      <alignment horizontal="center"/>
    </xf>
    <xf numFmtId="0" fontId="13" fillId="9" borderId="6" xfId="0" applyFont="1" applyFill="1" applyBorder="1" applyAlignment="1">
      <alignment horizontal="center"/>
    </xf>
    <xf numFmtId="0" fontId="18" fillId="9" borderId="6" xfId="0" applyFont="1" applyFill="1" applyBorder="1" applyAlignment="1">
      <alignment horizontal="center"/>
    </xf>
    <xf numFmtId="0" fontId="4" fillId="15" borderId="0" xfId="0" applyFont="1" applyFill="1" applyAlignment="1">
      <alignment horizontal="center"/>
    </xf>
    <xf numFmtId="0" fontId="18" fillId="9" borderId="0" xfId="0" applyFont="1" applyFill="1" applyAlignment="1">
      <alignment horizontal="center"/>
    </xf>
    <xf numFmtId="0" fontId="4" fillId="0" borderId="0" xfId="0" applyFont="1" applyAlignment="1">
      <alignment horizontal="center"/>
    </xf>
    <xf numFmtId="0" fontId="4" fillId="0" borderId="10" xfId="0" applyFont="1" applyBorder="1" applyAlignment="1">
      <alignment horizontal="right" vertical="center" textRotation="90"/>
    </xf>
    <xf numFmtId="0" fontId="4" fillId="0" borderId="12" xfId="0" applyFont="1" applyBorder="1" applyAlignment="1">
      <alignment horizontal="center"/>
    </xf>
    <xf numFmtId="0" fontId="9" fillId="3" borderId="0" xfId="4" applyFont="1" applyAlignment="1">
      <alignment horizontal="left"/>
    </xf>
  </cellXfs>
  <cellStyles count="12">
    <cellStyle name="20% - Accent6" xfId="5" builtinId="50"/>
    <cellStyle name="40% - Accent6" xfId="6" builtinId="51"/>
    <cellStyle name="60% - Accent6" xfId="7" builtinId="52"/>
    <cellStyle name="Accent6" xfId="4" builtinId="49"/>
    <cellStyle name="Comma" xfId="3" builtinId="3"/>
    <cellStyle name="Currency" xfId="1" builtinId="4"/>
    <cellStyle name="Normal" xfId="0" builtinId="0"/>
    <cellStyle name="Normal 2" xfId="10" xr:uid="{0D72AB3C-054B-4800-8C9F-5DF864D2CAE0}"/>
    <cellStyle name="Normal 3" xfId="9" xr:uid="{51F543B6-9088-4CAE-9216-1BB08811A550}"/>
    <cellStyle name="Normal 4" xfId="11" xr:uid="{CEB66788-BBD3-40DE-B19C-BDDE17EC7E68}"/>
    <cellStyle name="Percent" xfId="2" builtinId="5"/>
    <cellStyle name="Percent 3" xfId="8" xr:uid="{03160A8D-4267-4683-A654-3121561221B4}"/>
  </cellStyles>
  <dxfs count="3">
    <dxf>
      <fill>
        <patternFill>
          <bgColor rgb="FFFFCDCD"/>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rgb="FFF4F3F3"/>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7DAA53"/>
      <color rgb="FF7DBD41"/>
      <color rgb="FFD4EEF8"/>
      <color rgb="FF5DCAF5"/>
      <color rgb="FF6BC4E7"/>
      <color rgb="FFC0E6F5"/>
      <color rgb="FFF2F2F2"/>
      <color rgb="FF808080"/>
      <color rgb="FFDAF2D0"/>
      <color rgb="FFB1E4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21" Type="http://schemas.openxmlformats.org/officeDocument/2006/relationships/worksheet" Target="worksheets/sheet21.xml"/><Relationship Id="rId34"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33" Type="http://schemas.microsoft.com/office/2017/06/relationships/rdRichValueTypes" Target="richData/rdRichValueTyp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Array" Target="richData/rdarray.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2" Type="http://schemas.microsoft.com/office/2017/06/relationships/rdSupportingPropertyBag" Target="richData/rdsupportingpropertybag.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microsoft.com/office/2017/06/relationships/rdRichValueStructure" Target="richData/rdrichvaluestructure.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SupportingPropertyBagStructure" Target="richData/rdsupportingpropertybag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06/relationships/rdRichValue" Target="richData/rdrichvalue.xml"/><Relationship Id="rId30" Type="http://schemas.microsoft.com/office/2017/06/relationships/richStyles" Target="richData/richStyles.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spPr>
            <a:no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'Valuation Summary'!$A$4:$A$6</c:f>
              <c:strCache>
                <c:ptCount val="3"/>
                <c:pt idx="0">
                  <c:v>DCF</c:v>
                </c:pt>
                <c:pt idx="1">
                  <c:v>Relative</c:v>
                </c:pt>
                <c:pt idx="2">
                  <c:v>52-Week Range</c:v>
                </c:pt>
              </c:strCache>
            </c:strRef>
          </c:cat>
          <c:val>
            <c:numRef>
              <c:f>'Valuation Summary'!$B$4:$B$6</c:f>
              <c:numCache>
                <c:formatCode>"$"#,##0.00</c:formatCode>
                <c:ptCount val="3"/>
                <c:pt idx="0">
                  <c:v>54.561933351737977</c:v>
                </c:pt>
                <c:pt idx="1">
                  <c:v>67.718731713683567</c:v>
                </c:pt>
                <c:pt idx="2">
                  <c:v>60.44</c:v>
                </c:pt>
              </c:numCache>
            </c:numRef>
          </c:val>
          <c:extLst>
            <c:ext xmlns:c16="http://schemas.microsoft.com/office/drawing/2014/chart" uri="{C3380CC4-5D6E-409C-BE32-E72D297353CC}">
              <c16:uniqueId val="{00000000-A5C7-4F44-9F43-4922AB5142D3}"/>
            </c:ext>
          </c:extLst>
        </c:ser>
        <c:ser>
          <c:idx val="1"/>
          <c:order val="1"/>
          <c:spPr>
            <a:solidFill>
              <a:srgbClr val="52840F"/>
            </a:solidFill>
            <a:ln w="25400">
              <a:noFill/>
            </a:ln>
            <a:effectLst/>
          </c:spPr>
          <c:invertIfNegative val="0"/>
          <c:dPt>
            <c:idx val="0"/>
            <c:invertIfNegative val="0"/>
            <c:bubble3D val="0"/>
            <c:spPr>
              <a:solidFill>
                <a:srgbClr val="52840F"/>
              </a:solidFill>
              <a:ln w="25400">
                <a:noFill/>
              </a:ln>
              <a:effectLst/>
            </c:spPr>
            <c:extLst>
              <c:ext xmlns:c16="http://schemas.microsoft.com/office/drawing/2014/chart" uri="{C3380CC4-5D6E-409C-BE32-E72D297353CC}">
                <c16:uniqueId val="{00000005-7B34-4265-831D-557CDE559AF2}"/>
              </c:ext>
            </c:extLst>
          </c:dPt>
          <c:dPt>
            <c:idx val="1"/>
            <c:invertIfNegative val="0"/>
            <c:bubble3D val="0"/>
            <c:spPr>
              <a:solidFill>
                <a:srgbClr val="52840F"/>
              </a:solidFill>
              <a:ln w="25400">
                <a:noFill/>
              </a:ln>
              <a:effectLst/>
            </c:spPr>
            <c:extLst>
              <c:ext xmlns:c16="http://schemas.microsoft.com/office/drawing/2014/chart" uri="{C3380CC4-5D6E-409C-BE32-E72D297353CC}">
                <c16:uniqueId val="{00000002-A5C7-4F44-9F43-4922AB5142D3}"/>
              </c:ext>
            </c:extLst>
          </c:dPt>
          <c:dPt>
            <c:idx val="2"/>
            <c:invertIfNegative val="0"/>
            <c:bubble3D val="0"/>
            <c:spPr>
              <a:solidFill>
                <a:srgbClr val="B2CD6E"/>
              </a:solidFill>
              <a:ln w="25400">
                <a:noFill/>
              </a:ln>
              <a:effectLst/>
            </c:spPr>
            <c:extLst>
              <c:ext xmlns:c16="http://schemas.microsoft.com/office/drawing/2014/chart" uri="{C3380CC4-5D6E-409C-BE32-E72D297353CC}">
                <c16:uniqueId val="{00000003-149C-4AA2-A05A-9C785C39661B}"/>
              </c:ext>
            </c:extLst>
          </c:dPt>
          <c:dLbls>
            <c:delete val="1"/>
          </c:dLbls>
          <c:cat>
            <c:strRef>
              <c:f>'Valuation Summary'!$A$4:$A$6</c:f>
              <c:strCache>
                <c:ptCount val="3"/>
                <c:pt idx="0">
                  <c:v>DCF</c:v>
                </c:pt>
                <c:pt idx="1">
                  <c:v>Relative</c:v>
                </c:pt>
                <c:pt idx="2">
                  <c:v>52-Week Range</c:v>
                </c:pt>
              </c:strCache>
            </c:strRef>
          </c:cat>
          <c:val>
            <c:numRef>
              <c:f>'Valuation Summary'!$C$4:$C$6</c:f>
              <c:numCache>
                <c:formatCode>"$"#,##0.00</c:formatCode>
                <c:ptCount val="3"/>
                <c:pt idx="0">
                  <c:v>47.824612643471838</c:v>
                </c:pt>
                <c:pt idx="1">
                  <c:v>35.307830153736546</c:v>
                </c:pt>
                <c:pt idx="2">
                  <c:v>22.740000000000009</c:v>
                </c:pt>
              </c:numCache>
            </c:numRef>
          </c:val>
          <c:extLst>
            <c:ext xmlns:c16="http://schemas.microsoft.com/office/drawing/2014/chart" uri="{C3380CC4-5D6E-409C-BE32-E72D297353CC}">
              <c16:uniqueId val="{00000003-A5C7-4F44-9F43-4922AB5142D3}"/>
            </c:ext>
          </c:extLst>
        </c:ser>
        <c:ser>
          <c:idx val="2"/>
          <c:order val="2"/>
          <c:spPr>
            <a:no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'Valuation Summary'!$A$4:$A$6</c:f>
              <c:strCache>
                <c:ptCount val="3"/>
                <c:pt idx="0">
                  <c:v>DCF</c:v>
                </c:pt>
                <c:pt idx="1">
                  <c:v>Relative</c:v>
                </c:pt>
                <c:pt idx="2">
                  <c:v>52-Week Range</c:v>
                </c:pt>
              </c:strCache>
            </c:strRef>
          </c:cat>
          <c:val>
            <c:numRef>
              <c:f>'Valuation Summary'!$D$4:$D$6</c:f>
              <c:numCache>
                <c:formatCode>"$"#,##0.00</c:formatCode>
                <c:ptCount val="3"/>
                <c:pt idx="0">
                  <c:v>102.38654599520981</c:v>
                </c:pt>
                <c:pt idx="1">
                  <c:v>103.02656186742011</c:v>
                </c:pt>
                <c:pt idx="2">
                  <c:v>83.18</c:v>
                </c:pt>
              </c:numCache>
            </c:numRef>
          </c:val>
          <c:extLst>
            <c:ext xmlns:c16="http://schemas.microsoft.com/office/drawing/2014/chart" uri="{C3380CC4-5D6E-409C-BE32-E72D297353CC}">
              <c16:uniqueId val="{00000004-A5C7-4F44-9F43-4922AB5142D3}"/>
            </c:ext>
          </c:extLst>
        </c:ser>
        <c:dLbls>
          <c:showLegendKey val="0"/>
          <c:showVal val="1"/>
          <c:showCatName val="0"/>
          <c:showSerName val="0"/>
          <c:showPercent val="0"/>
          <c:showBubbleSize val="0"/>
        </c:dLbls>
        <c:gapWidth val="150"/>
        <c:overlap val="100"/>
        <c:axId val="1135264400"/>
        <c:axId val="1135248080"/>
      </c:barChart>
      <c:catAx>
        <c:axId val="1135264400"/>
        <c:scaling>
          <c:orientation val="maxMin"/>
        </c:scaling>
        <c:delete val="0"/>
        <c:axPos val="l"/>
        <c:numFmt formatCode="General" sourceLinked="1"/>
        <c:majorTickMark val="none"/>
        <c:minorTickMark val="none"/>
        <c:tickLblPos val="nextTo"/>
        <c:spPr>
          <a:noFill/>
          <a:ln w="12700" cap="flat" cmpd="sng" algn="ctr">
            <a:solidFill>
              <a:srgbClr val="DBDBDA"/>
            </a:solidFill>
            <a:round/>
          </a:ln>
          <a:effectLst/>
        </c:spPr>
        <c:txPr>
          <a:bodyPr rot="-60000000" spcFirstLastPara="1" vertOverflow="ellipsis" vert="horz" wrap="square" anchor="t" anchorCtr="0"/>
          <a:lstStyle/>
          <a:p>
            <a:pPr>
              <a:defRPr sz="1200" b="1" i="0" u="none" strike="noStrike" kern="1200" baseline="0">
                <a:solidFill>
                  <a:schemeClr val="tx1"/>
                </a:solidFill>
                <a:latin typeface="+mn-lt"/>
                <a:ea typeface="+mn-ea"/>
                <a:cs typeface="+mn-cs"/>
              </a:defRPr>
            </a:pPr>
            <a:endParaRPr lang="en-US"/>
          </a:p>
        </c:txPr>
        <c:crossAx val="1135248080"/>
        <c:crosses val="autoZero"/>
        <c:auto val="1"/>
        <c:lblAlgn val="ctr"/>
        <c:lblOffset val="20"/>
        <c:noMultiLvlLbl val="0"/>
      </c:catAx>
      <c:valAx>
        <c:axId val="1135248080"/>
        <c:scaling>
          <c:orientation val="minMax"/>
          <c:max val="160"/>
          <c:min val="10"/>
        </c:scaling>
        <c:delete val="1"/>
        <c:axPos val="t"/>
        <c:numFmt formatCode="&quot;$&quot;#,##0.00" sourceLinked="1"/>
        <c:majorTickMark val="out"/>
        <c:minorTickMark val="none"/>
        <c:tickLblPos val="nextTo"/>
        <c:crossAx val="11352644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4</xdr:col>
      <xdr:colOff>0</xdr:colOff>
      <xdr:row>25</xdr:row>
      <xdr:rowOff>0</xdr:rowOff>
    </xdr:to>
    <xdr:graphicFrame macro="">
      <xdr:nvGraphicFramePr>
        <xdr:cNvPr id="2" name="Chart 1">
          <a:extLst>
            <a:ext uri="{FF2B5EF4-FFF2-40B4-BE49-F238E27FC236}">
              <a16:creationId xmlns:a16="http://schemas.microsoft.com/office/drawing/2014/main" id="{2DB3B88B-ABEB-4085-8295-9B40318218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8F3BA8D-B987-460D-A40A-911F146A8913}"/>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D65F7CC-5FB3-4D7C-B1BE-99C3B08E6809}"/>
</namedSheetViews>
</file>

<file path=xl/persons/person.xml><?xml version="1.0" encoding="utf-8"?>
<personList xmlns="http://schemas.microsoft.com/office/spreadsheetml/2018/threadedcomments" xmlns:x="http://schemas.openxmlformats.org/spreadsheetml/2006/main">
  <person displayName="Gavin Rinehardt" id="{29516E43-67A1-4FD6-89F8-82E919A92A1C}" userId="90f58bb80e351e23" providerId="Windows Live"/>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imageurl">
      <keyFlags>
        <key name="Blip Identifier">
          <flag name="ShowInCardView"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array.xml><?xml version="1.0" encoding="utf-8"?>
<arrayData xmlns="http://schemas.microsoft.com/office/spreadsheetml/2017/richdata2" count="9">
  <a r="1" c="99">
    <v t="i">0</v>
    <v t="i">30</v>
    <v t="i">61</v>
    <v t="i">92</v>
    <v t="i">122</v>
    <v t="i">153</v>
    <v t="i">183</v>
    <v t="i">214</v>
    <v t="i">245</v>
    <v t="i">273</v>
    <v t="i">304</v>
    <v t="i">334</v>
    <v t="i">365</v>
    <v t="i">395</v>
    <v t="i">426</v>
    <v t="i">457</v>
    <v t="i">487</v>
    <v t="i">518</v>
    <v t="i">548</v>
    <v t="i">579</v>
    <v t="i">610</v>
    <v t="i">639</v>
    <v t="i">670</v>
    <v t="i">700</v>
    <v t="i">731</v>
    <v t="i">761</v>
    <v t="i">792</v>
    <v t="i">823</v>
    <v t="i">853</v>
    <v t="i">884</v>
    <v t="i">914</v>
    <v t="i">945</v>
    <v t="i">976</v>
    <v t="i">1004</v>
    <v t="i">1035</v>
    <v t="i">1065</v>
    <v t="i">1096</v>
    <v t="i">1126</v>
    <v t="i">1157</v>
    <v t="i">1188</v>
    <v t="i">1218</v>
    <v t="i">1249</v>
    <v t="i">1279</v>
    <v t="i">1310</v>
    <v t="i">1341</v>
    <v t="i">1369</v>
    <v t="i">1400</v>
    <v t="i">1430</v>
    <v t="i">1461</v>
    <v t="i">1491</v>
    <v t="i">1522</v>
    <v t="i">1553</v>
    <v t="i">1583</v>
    <v t="i">1614</v>
    <v t="i">1644</v>
    <v t="i">1675</v>
    <v t="i">1706</v>
    <v t="i">1734</v>
    <v t="i">1765</v>
    <v t="i">1795</v>
    <v t="i">1826</v>
    <v t="i">1856</v>
    <v t="i">1887</v>
    <v t="i">1918</v>
    <v t="i">1948</v>
    <v t="i">1979</v>
    <v t="i">2009</v>
    <v t="i">2040</v>
    <v t="i">2071</v>
    <v t="i">2100</v>
    <v t="i">2131</v>
    <v t="i">2161</v>
    <v t="i">2192</v>
    <v t="i">2222</v>
    <v t="i">2253</v>
    <v t="i">2284</v>
    <v t="i">2314</v>
    <v t="i">2345</v>
    <v t="i">2375</v>
    <v t="i">2406</v>
    <v t="i">2437</v>
    <v t="i">2465</v>
    <v t="i">2496</v>
    <v t="i">2526</v>
    <v t="i">2557</v>
    <v t="i">2587</v>
    <v t="i">2618</v>
    <v t="i">2649</v>
    <v t="i">2679</v>
    <v t="i">2710</v>
    <v t="i">2740</v>
    <v t="i">2771</v>
    <v t="i">2802</v>
    <v t="i">2830</v>
    <v t="i">2861</v>
    <v t="i">2891</v>
    <v t="i">2922</v>
    <v t="i">2952</v>
    <v t="i">2983</v>
  </a>
  <a r="1" c="99">
    <v>9.8000000000000007</v>
    <v>9.6999999999999993</v>
    <v>10.45</v>
    <v>10.1</v>
    <v>9.4</v>
    <v>8.3000000000000007</v>
    <v>7.24</v>
    <v>8.4600000000000009</v>
    <v>8.91</v>
    <v>8.75</v>
    <v>8.94</v>
    <v>8.69</v>
    <v>8.31</v>
    <v>9.41</v>
    <v>9.19</v>
    <v>10.7</v>
    <v>10.07</v>
    <v>11.41</v>
    <v>11.48</v>
    <v>11.59</v>
    <v>10.94</v>
    <v>8.0500000000000007</v>
    <v>8.91</v>
    <v>10.7</v>
    <v>11.85</v>
    <v>13.8</v>
    <v>14.24</v>
    <v>16.100000000000001</v>
    <v>17.89</v>
    <v>21.77</v>
    <v>22.96</v>
    <v>19.899999999999999</v>
    <v>19.73</v>
    <v>22.68</v>
    <v>25.81</v>
    <v>23.34</v>
    <v>22.74</v>
    <v>25.07</v>
    <v>24.99</v>
    <v>20.52</v>
    <v>26.05</v>
    <v>24.95</v>
    <v>30.33</v>
    <v>23.68</v>
    <v>23.19</v>
    <v>19.760000000000002</v>
    <v>19.7</v>
    <v>24.32</v>
    <v>19.57</v>
    <v>26.8</v>
    <v>24.36</v>
    <v>21.38</v>
    <v>23.13</v>
    <v>24.18</v>
    <v>24.23</v>
    <v>31.2</v>
    <v>31.2</v>
    <v>35.06</v>
    <v>37.270000000000003</v>
    <v>47.87</v>
    <v>56.8</v>
    <v>56.52</v>
    <v>49.46</v>
    <v>41.51</v>
    <v>38.700000000000003</v>
    <v>47.45</v>
    <v>51.94</v>
    <v>52.17</v>
    <v>58.5</v>
    <v>60.23</v>
    <v>54.13</v>
    <v>54.6</v>
    <v>57.24</v>
    <v>73.150000000000006</v>
    <v>78.78</v>
    <v>83.52</v>
    <v>69.010000000000005</v>
    <v>71.459999999999994</v>
    <v>56.49</v>
    <v>60.47</v>
    <v>59.73</v>
    <v>58.31</v>
    <v>58.99</v>
    <v>58.45</v>
    <v>62.88</v>
    <v>61.94</v>
    <v>69.84</v>
    <v>73.86</v>
    <v>64.739999999999995</v>
    <v>67.88</v>
    <v>62.66</v>
    <v>69.39</v>
    <v>73.66</v>
    <v>64.45</v>
    <v>67.44</v>
    <v>67.260000000000005</v>
    <v>80.040000000000006</v>
    <v>70.73</v>
    <v>72.77</v>
  </a>
  <a r="1" c="99">
    <v>31.55</v>
    <v>30.5</v>
    <v>29.25</v>
    <v>26.25</v>
    <v>21.22</v>
    <v>20.57</v>
    <v>17.260000000000002</v>
    <v>23.46</v>
    <v>22.83</v>
    <v>23.97</v>
    <v>25.43</v>
    <v>26.7</v>
    <v>26.58</v>
    <v>27.57</v>
    <v>28.18</v>
    <v>30.63</v>
    <v>30.17</v>
    <v>28.5</v>
    <v>27.35</v>
    <v>29.67</v>
    <v>33.33</v>
    <v>14.51</v>
    <v>21.42</v>
    <v>29.54</v>
    <v>30.66</v>
    <v>35.619999999999997</v>
    <v>35.68</v>
    <v>42.33</v>
    <v>38.840000000000003</v>
    <v>44.5</v>
    <v>43.78</v>
    <v>46.94</v>
    <v>55.33</v>
    <v>60.32</v>
    <v>73.94</v>
    <v>81.38</v>
    <v>66.540000000000006</v>
    <v>69.45</v>
    <v>70.099999999999994</v>
    <v>61.45</v>
    <v>67.06</v>
    <v>71.069999999999993</v>
    <v>81.790000000000006</v>
    <v>65.849999999999994</v>
    <v>63.72</v>
    <v>53.57</v>
    <v>52.72</v>
    <v>54.37</v>
    <v>44.97</v>
    <v>51.17</v>
    <v>46.69</v>
    <v>42.78</v>
    <v>44.51</v>
    <v>48.16</v>
    <v>50.01</v>
    <v>61.2</v>
    <v>59.81</v>
    <v>63.92</v>
    <v>67.34</v>
    <v>63.63</v>
    <v>76.62</v>
    <v>77.22</v>
    <v>74.25</v>
    <v>66.78</v>
    <v>61.5</v>
    <v>72.14</v>
    <v>91.14</v>
    <v>86.7</v>
    <v>86.29</v>
    <v>96.5</v>
    <v>79.319999999999993</v>
    <v>84.41</v>
    <v>81.66</v>
    <v>104.71</v>
    <v>100.07</v>
    <v>102.98</v>
    <v>88.66</v>
    <v>90.36</v>
    <v>73.36</v>
    <v>76.38</v>
    <v>69.430000000000007</v>
    <v>67.099999999999994</v>
    <v>54.54</v>
    <v>51.87</v>
    <v>56.32</v>
    <v>56.29</v>
    <v>65.88</v>
    <v>63.37</v>
    <v>59.4</v>
    <v>65.290000000000006</v>
    <v>59.35</v>
    <v>62.98</v>
    <v>67.23</v>
    <v>57.38</v>
    <v>56.02</v>
    <v>52.82</v>
    <v>71.66</v>
    <v>67.16</v>
    <v>69.41</v>
  </a>
  <a r="1" c="99">
    <v>50.448799999999999</v>
    <v>50.227800000000002</v>
    <v>49.651299999999999</v>
    <v>44.8658</v>
    <v>41.300800000000002</v>
    <v>41.060499999999998</v>
    <v>37.620399999999997</v>
    <v>45.567300000000003</v>
    <v>46.105400000000003</v>
    <v>47.1721</v>
    <v>49.997199999999999</v>
    <v>47.719799999999999</v>
    <v>46.566699999999997</v>
    <v>45.711399999999998</v>
    <v>49.007399999999997</v>
    <v>53.667900000000003</v>
    <v>57.2714</v>
    <v>57.319499999999998</v>
    <v>53.610300000000002</v>
    <v>63.767299999999999</v>
    <v>57.982500000000002</v>
    <v>36.707500000000003</v>
    <v>48.113799999999998</v>
    <v>58.097799999999999</v>
    <v>59.212499999999999</v>
    <v>69.523300000000006</v>
    <v>71.896799999999999</v>
    <v>78.488799999999998</v>
    <v>67.486099999999993</v>
    <v>72.896100000000004</v>
    <v>73.2517</v>
    <v>79.901300000000006</v>
    <v>79.728399999999993</v>
    <v>97.274900000000002</v>
    <v>99.552300000000002</v>
    <v>95.1417</v>
    <v>95.468400000000003</v>
    <v>101.04179999999999</v>
    <v>103.1174</v>
    <v>90.019900000000007</v>
    <v>96.025700000000001</v>
    <v>100.9457</v>
    <v>111.6216</v>
    <v>92.355000000000004</v>
    <v>86.368399999999994</v>
    <v>77.998699999999999</v>
    <v>73.501499999999993</v>
    <v>77.114599999999996</v>
    <v>67.812799999999996</v>
    <v>81.679000000000002</v>
    <v>74.424000000000007</v>
    <v>71.637299999999996</v>
    <v>77.5471</v>
    <v>84.398499999999999</v>
    <v>86.964200000000005</v>
    <v>98.399199999999993</v>
    <v>92.960400000000007</v>
    <v>101.0034</v>
    <v>108.4025</v>
    <v>102.9348</v>
    <v>120.4141</v>
    <v>121.87479999999999</v>
    <v>114.4372</v>
    <v>107.84520000000001</v>
    <v>102.512</v>
    <v>122.9222</v>
    <v>143.21700000000001</v>
    <v>143.99539999999999</v>
    <v>152.31700000000001</v>
    <v>165.26070000000001</v>
    <v>145.6962</v>
    <v>154.08510000000001</v>
    <v>144.0146</v>
    <v>170.01730000000001</v>
    <v>174.9469</v>
    <v>180.15520000000001</v>
    <v>163.6464</v>
    <v>167.57660000000001</v>
    <v>131.042</v>
    <v>131.24</v>
    <v>119.63</v>
    <v>114.78</v>
    <v>108.61</v>
    <v>106.08</v>
    <v>110.61</v>
    <v>112.18</v>
    <v>133.13999999999999</v>
    <v>126.04</v>
    <v>123.77</v>
    <v>131.30000000000001</v>
    <v>102.8</v>
    <v>109.35</v>
    <v>114.36</v>
    <v>86.84</v>
    <v>90.3</v>
    <v>89.78</v>
    <v>90.49</v>
    <v>82.35</v>
    <v>88.16</v>
  </a>
  <a r="1" c="99">
    <v>41</v>
    <v>43.7</v>
    <v>44.51</v>
    <v>42.18</v>
    <v>35.96</v>
    <v>37.22</v>
    <v>34.659999999999997</v>
    <v>38.450000000000003</v>
    <v>38.89</v>
    <v>41.38</v>
    <v>44.31</v>
    <v>42.76</v>
    <v>43.13</v>
    <v>45.93</v>
    <v>49.47</v>
    <v>52.71</v>
    <v>52.37</v>
    <v>55.35</v>
    <v>52.75</v>
    <v>59.2</v>
    <v>53.27</v>
    <v>34</v>
    <v>47.22</v>
    <v>55.3</v>
    <v>55.45</v>
    <v>66.16</v>
    <v>71.37</v>
    <v>75.63</v>
    <v>66.81</v>
    <v>74.5</v>
    <v>68.92</v>
    <v>76.8</v>
    <v>76.87</v>
    <v>89.12</v>
    <v>98.29</v>
    <v>95.29</v>
    <v>90.37</v>
    <v>95.43</v>
    <v>95.62</v>
    <v>83.97</v>
    <v>89.27</v>
    <v>97.7</v>
    <v>108.45</v>
    <v>89.22</v>
    <v>85.4</v>
    <v>74.510000000000005</v>
    <v>69.59</v>
    <v>75.150000000000006</v>
    <v>66.19</v>
    <v>78.03</v>
    <v>71.150000000000006</v>
    <v>67.349999999999994</v>
    <v>76.88</v>
    <v>86</v>
    <v>89.14</v>
    <v>98.69</v>
    <v>92.48</v>
    <v>97.69</v>
    <v>109.82</v>
    <v>106.84</v>
    <v>121.69</v>
    <v>127.02</v>
    <v>119.02</v>
    <v>107.47</v>
    <v>104.4</v>
    <v>127.67</v>
    <v>151.97999999999999</v>
    <v>142.91</v>
    <v>149.44</v>
    <v>164.55</v>
    <v>142.49</v>
    <v>147.80000000000001</v>
    <v>140.93</v>
    <v>179.93</v>
    <v>188.76</v>
    <v>190.77</v>
    <v>169</v>
    <v>168.78</v>
    <v>139.82</v>
    <v>141.9</v>
    <v>126.81</v>
    <v>127.13</v>
    <v>126.34</v>
    <v>118.06</v>
    <v>128.91999999999999</v>
    <v>142.84</v>
    <v>169.48</v>
    <v>169.47</v>
    <v>149.08000000000001</v>
    <v>159.01</v>
    <v>144.03</v>
    <v>148.84</v>
    <v>160.38999999999999</v>
    <v>137.22</v>
    <v>153.86000000000001</v>
    <v>147.09</v>
    <v>162.88</v>
    <v>143.06</v>
    <v>148.97</v>
  </a>
  <a r="1" c="99">
    <v>21.975000000000001</v>
    <v>21.574999999999999</v>
    <v>21.574999999999999</v>
    <v>19.95</v>
    <v>18.625</v>
    <v>19.125</v>
    <v>18.36</v>
    <v>22.54</v>
    <v>21.925000000000001</v>
    <v>22.355</v>
    <v>25.574999999999999</v>
    <v>25.05</v>
    <v>25.67</v>
    <v>31.405000000000001</v>
    <v>32.67</v>
    <v>35.174999999999997</v>
    <v>36.045000000000002</v>
    <v>33.270000000000003</v>
    <v>30.555</v>
    <v>35.479999999999997</v>
    <v>31.73</v>
    <v>18.254999999999999</v>
    <v>26.28</v>
    <v>34.75</v>
    <v>38.06</v>
    <v>49.59</v>
    <v>48.015000000000001</v>
    <v>55.195</v>
    <v>43.545000000000002</v>
    <v>45.075000000000003</v>
    <v>41.41</v>
    <v>40.130000000000003</v>
    <v>42.155000000000001</v>
    <v>45.96</v>
    <v>53.195</v>
    <v>53.835000000000001</v>
    <v>47.04</v>
    <v>54.29</v>
    <v>55.77</v>
    <v>48.5</v>
    <v>54.354999999999997</v>
    <v>56.43</v>
    <v>61.03</v>
    <v>51.015000000000001</v>
    <v>49.29</v>
    <v>39.615000000000002</v>
    <v>41.274999999999999</v>
    <v>42.655000000000001</v>
    <v>36.25</v>
    <v>44.15</v>
    <v>39.174999999999997</v>
    <v>35.134999999999998</v>
    <v>38.08</v>
    <v>43.204999999999998</v>
    <v>46.1</v>
    <v>53.844999999999999</v>
    <v>54.615000000000002</v>
    <v>58.38</v>
    <v>64.025000000000006</v>
    <v>57.664999999999999</v>
    <v>71.135000000000005</v>
    <v>74.474999999999994</v>
    <v>69.52</v>
    <v>61.195</v>
    <v>57.01</v>
    <v>70.650000000000006</v>
    <v>87.1</v>
    <v>82.805000000000007</v>
    <v>78.83</v>
    <v>87.73</v>
    <v>82.87</v>
    <v>88.174999999999997</v>
    <v>80.924999999999997</v>
    <v>101.435</v>
    <v>99.034999999999997</v>
    <v>102.535</v>
    <v>90.6</v>
    <v>95.534999999999997</v>
    <v>76.91</v>
    <v>77.87</v>
    <v>72.47</v>
    <v>70.88</v>
    <v>68.14</v>
    <v>63.61</v>
    <v>66.97</v>
    <v>67.34</v>
    <v>77.69</v>
    <v>72.430000000000007</v>
    <v>67.56</v>
    <v>73.08</v>
    <v>65.8</v>
    <v>69.510000000000005</v>
    <v>75.42</v>
    <v>61.84</v>
    <v>67.34</v>
    <v>65.239999999999995</v>
    <v>83.85</v>
    <v>70.2</v>
    <v>72.52</v>
  </a>
  <a r="1" c="96">
    <v t="i">0</v>
    <v t="i">30</v>
    <v t="i">61</v>
    <v t="i">92</v>
    <v t="i">122</v>
    <v t="i">153</v>
    <v t="i">183</v>
    <v t="i">214</v>
    <v t="i">245</v>
    <v t="i">273</v>
    <v t="i">304</v>
    <v t="i">334</v>
    <v t="i">365</v>
    <v t="i">395</v>
    <v t="i">426</v>
    <v t="i">457</v>
    <v t="i">487</v>
    <v t="i">518</v>
    <v t="i">548</v>
    <v t="i">579</v>
    <v t="i">610</v>
    <v t="i">639</v>
    <v t="i">670</v>
    <v t="i">700</v>
    <v t="i">731</v>
    <v t="i">761</v>
    <v t="i">792</v>
    <v t="i">823</v>
    <v t="i">853</v>
    <v t="i">884</v>
    <v t="i">914</v>
    <v t="i">945</v>
    <v t="i">976</v>
    <v t="i">1004</v>
    <v t="i">1035</v>
    <v t="i">1065</v>
    <v t="i">1096</v>
    <v t="i">1126</v>
    <v t="i">1157</v>
    <v t="i">1188</v>
    <v t="i">1218</v>
    <v t="i">1249</v>
    <v t="i">1279</v>
    <v t="i">1310</v>
    <v t="i">1341</v>
    <v t="i">1369</v>
    <v t="i">1400</v>
    <v t="i">1430</v>
    <v t="i">1461</v>
    <v t="i">1491</v>
    <v t="i">1522</v>
    <v t="i">1553</v>
    <v t="i">1583</v>
    <v t="i">1614</v>
    <v t="i">1644</v>
    <v t="i">1675</v>
    <v t="i">1706</v>
    <v t="i">1734</v>
    <v t="i">1765</v>
    <v t="i">1795</v>
    <v t="i">1826</v>
    <v t="i">1856</v>
    <v t="i">1887</v>
    <v t="i">1918</v>
    <v t="i">1948</v>
    <v t="i">1979</v>
    <v t="i">2009</v>
    <v t="i">2040</v>
    <v t="i">2071</v>
    <v t="i">2100</v>
    <v t="i">2131</v>
    <v t="i">2161</v>
    <v t="i">2192</v>
    <v t="i">2222</v>
    <v t="i">2253</v>
    <v t="i">2284</v>
    <v t="i">2314</v>
    <v t="i">2345</v>
    <v t="i">2375</v>
    <v t="i">2406</v>
    <v t="i">2437</v>
    <v t="i">2465</v>
    <v t="i">2496</v>
    <v t="i">2526</v>
    <v t="i">2557</v>
    <v t="i">2587</v>
    <v t="i">2618</v>
    <v t="i">2649</v>
    <v t="i">2679</v>
    <v t="i">2710</v>
    <v t="i">2740</v>
    <v t="i">2771</v>
    <v t="i">2802</v>
    <v t="i">2830</v>
    <v t="i">2861</v>
    <v t="i">2891</v>
  </a>
  <a r="1" c="96">
    <v>16.36</v>
    <v>14.17</v>
    <v>14.49</v>
    <v>12.4</v>
    <v>11.9</v>
    <v>12.48</v>
    <v>10.93</v>
    <v>13.45</v>
    <v>12.6</v>
    <v>12.64</v>
    <v>13.05</v>
    <v>12.3</v>
    <v>11.97</v>
    <v>13.69</v>
    <v>14</v>
    <v>15.04</v>
    <v>15.74</v>
    <v>15.58</v>
    <v>15.58</v>
    <v>16.260000000000002</v>
    <v>15.33</v>
    <v>8.77</v>
    <v>11.48</v>
    <v>14.32</v>
    <v>14.69</v>
    <v>16.72</v>
    <v>16.88</v>
    <v>18.14</v>
    <v>16.43</v>
    <v>17.48</v>
    <v>17.25</v>
    <v>20.2</v>
    <v>19</v>
    <v>20.36</v>
    <v>23.82</v>
    <v>24.12</v>
    <v>21.43</v>
    <v>24.12</v>
    <v>23.77</v>
    <v>21.02</v>
    <v>24.19</v>
    <v>24.97</v>
    <v>27.89</v>
    <v>23.81</v>
    <v>22.37</v>
    <v>20.079999999999998</v>
    <v>20.67</v>
    <v>21.07</v>
    <v>16.87</v>
    <v>18.52</v>
    <v>17.329999999999998</v>
    <v>15.11</v>
    <v>16.75</v>
    <v>18.440000000000001</v>
    <v>18.59</v>
    <v>22.09</v>
    <v>23.84</v>
    <v>25.32</v>
    <v>28.68</v>
    <v>29.21</v>
    <v>32.86</v>
    <v>31.88</v>
    <v>31.1</v>
    <v>27.35</v>
    <v>25.06</v>
    <v>29.18</v>
    <v>35.4</v>
    <v>34.53</v>
    <v>35.380000000000003</v>
    <v>38.659999999999997</v>
    <v>36.85</v>
    <v>38.729999999999997</v>
    <v>37.25</v>
    <v>45.25</v>
    <v>44.44</v>
    <v>45.31</v>
    <v>40.43</v>
    <v>43.53</v>
    <v>36.26</v>
    <v>36.86</v>
    <v>31.66</v>
    <v>31.92</v>
    <v>30.75</v>
    <v>29.48</v>
    <v>31.95</v>
    <v>30.8</v>
    <v>35.33</v>
    <v>33.97</v>
    <v>31.85</v>
    <v>34.119999999999997</v>
    <v>31.47</v>
    <v>33.35</v>
    <v>46.3</v>
    <v>46.73</v>
    <v>46.89</v>
    <v>46.95</v>
  </a>
  <a r="1" c="99">
    <v>28.75</v>
    <v>28.49</v>
    <v>27.95</v>
    <v>24.77</v>
    <v>24.57</v>
    <v>26.52</v>
    <v>25.99</v>
    <v>27.81</v>
    <v>27</v>
    <v>27.96</v>
    <v>31.46</v>
    <v>31</v>
    <v>31.62</v>
    <v>31.51</v>
    <v>33.799999999999997</v>
    <v>36.549999999999997</v>
    <v>39.24</v>
    <v>39.65</v>
    <v>38.799999999999997</v>
    <v>44.65</v>
    <v>40.200000000000003</v>
    <v>22.32</v>
    <v>28.27</v>
    <v>33.97</v>
    <v>34.03</v>
    <v>43.6</v>
    <v>44.59</v>
    <v>46.29</v>
    <v>40.76</v>
    <v>43.63</v>
    <v>43.12</v>
    <v>43.5</v>
    <v>45.11</v>
    <v>52.44</v>
    <v>59.12</v>
    <v>57.79</v>
    <v>54.57</v>
    <v>54.87</v>
    <v>53.86</v>
    <v>45.92</v>
    <v>48.08</v>
    <v>50.03</v>
    <v>57.16</v>
    <v>52.69</v>
    <v>49.66</v>
    <v>41.9</v>
    <v>41.76</v>
    <v>45.26</v>
    <v>39.630000000000003</v>
    <v>43.62</v>
    <v>40.659999999999997</v>
    <v>37.5</v>
    <v>39.99</v>
    <v>44.78</v>
    <v>45.53</v>
    <v>56.89</v>
    <v>54.67</v>
    <v>58.28</v>
    <v>67.150000000000006</v>
    <v>66.08</v>
    <v>77.680000000000007</v>
    <v>84.39</v>
    <v>82.06</v>
    <v>74.05</v>
    <v>73.59</v>
    <v>88.42</v>
    <v>103.22</v>
    <v>104.56</v>
    <v>108.38</v>
    <v>120.62</v>
    <v>111.42</v>
    <v>117.32</v>
    <v>110.1</v>
    <v>132</v>
    <v>131.65</v>
    <v>143.53</v>
    <v>129.53</v>
    <v>135.27000000000001</v>
    <v>108.9</v>
    <v>113.78</v>
    <v>103.28</v>
    <v>102.8</v>
    <v>102.58</v>
    <v>98.03</v>
    <v>105.46</v>
    <v>112.92</v>
    <v>132.02000000000001</v>
    <v>132.13</v>
    <v>119.87</v>
    <v>127.19</v>
    <v>117.26</v>
    <v>125.09</v>
    <v>137.19999999999999</v>
    <v>117.61</v>
    <v>122.36</v>
    <v>118.18</v>
    <v>137.21</v>
    <v>126.47</v>
    <v>129.61000000000001</v>
  </a>
</arrayData>
</file>

<file path=xl/richData/rdrichvalue.xml><?xml version="1.0" encoding="utf-8"?>
<rvData xmlns="http://schemas.microsoft.com/office/spreadsheetml/2017/richdata" count="808">
  <rv s="0">
    <v>https://www.bing.com/financeapi/forcetrigger?t=a1u62w&amp;q=XNYS%3aGRBK&amp;form=skydnc</v>
    <v>Learn more on Bing</v>
  </rv>
  <rv s="1">
    <v>en-US</v>
    <v>a1u62w</v>
    <v>268435456</v>
    <v>1</v>
    <v>Powered by Refinitiv</v>
    <v>0</v>
    <v>GREEN BRICK PARTNERS, INC. (XNYS:GRBK)</v>
    <v>2</v>
    <v>3</v>
    <v>Finance</v>
    <v>4</v>
    <v>83.18</v>
    <v>60.44</v>
    <v>1.7991999999999999</v>
    <v>0.78</v>
    <v>0</v>
    <v>1.0719000000000001E-2</v>
    <v>0</v>
    <v>USD</v>
    <v>Green Brick Partners, Inc. is a diversified homebuilding and land development company. The Company is engaged in all aspects of the homebuilding process, including land acquisition and development, entitlements, design, construction, title and mortgage services, marketing and sales and the creation of brand images at its residential neighborhoods and master planned communities. The Company operates through three segments: Builder operations Central, Builder operations Southeast, and Land Development. The Builder operations Central segment represents operations by its builders in Texas. The Builder operations Southeast segment represents operations by its builders in Georgia and Florida. The Land Development segment acquires land for the development of residential lots that are transferred to its controlled builders or sold to third party homebuilders. Its homebuilding projects include single family homes, townhomes, condos, luxury homes, and patio homes.</v>
    <v>620</v>
    <v>New York Stock Exchange</v>
    <v>XNYS</v>
    <v>XNYS</v>
    <v>5501 HEADQUARTERS DR, SUITE 300W, PLANO, TX, 75024 US</v>
    <v>73.674999999999997</v>
    <v>Homebuilding &amp; Construction Supplies</v>
    <v>Stock</v>
    <v>46259.9791873375</v>
    <v>0</v>
    <v>72</v>
    <v>3163436985</v>
    <v>GREEN BRICK PARTNERS, INC.</v>
    <v>GREEN BRICK PARTNERS, INC.</v>
    <v>73.569999999999993</v>
    <v>11.122</v>
    <v>72.77</v>
    <v>73.55</v>
    <v>73.55</v>
    <v>43010700</v>
    <v>GRBK</v>
    <v>GREEN BRICK PARTNERS, INC. (XNYS:GRBK)</v>
    <v>198065</v>
    <v>238428</v>
    <v>2006</v>
  </rv>
  <rv s="2">
    <v>1</v>
  </rv>
  <rv s="0">
    <v>http://en.wikipedia.org/wiki/Public_domain</v>
    <v>Public domain</v>
  </rv>
  <rv s="0">
    <v>http://de.wikipedia.org/wiki/Lennar</v>
    <v>Wikipedia</v>
  </rv>
  <rv s="3">
    <v>3</v>
    <v>4</v>
  </rv>
  <rv s="4">
    <v>10</v>
    <v>https://www.bing.com/th?id=AMMS_53583359b2caf7766f03578d319fe529&amp;qlt=95</v>
    <v>5</v>
    <v>0</v>
    <v>https://www.bing.com/images/search?form=xlimg&amp;q=lennar+corporation</v>
    <v>Image of LENNAR CORPORATION</v>
  </rv>
  <rv s="0">
    <v>https://www.bing.com/financeapi/forcetrigger?t=a1wucw&amp;q=XNYS%3aLEN&amp;form=skydnc</v>
    <v>Learn more on Bing</v>
  </rv>
  <rv s="5">
    <v>en-US</v>
    <v>a1wucw</v>
    <v>268435456</v>
    <v>1</v>
    <v>Powered by Refinitiv</v>
    <v>5</v>
    <v>LENNAR CORPORATION (XNYS:LEN)</v>
    <v>7</v>
    <v>8</v>
    <v>Finance</v>
    <v>9</v>
    <v>144.23500000000001</v>
    <v>79.825000000000003</v>
    <v>1.4087000000000001</v>
    <v>-0.48</v>
    <v>8.5389999999999997E-3</v>
    <v>-5.4450000000000002E-3</v>
    <v>0.74870000000000003</v>
    <v>USD</v>
    <v>Lennar Corporation is a homebuilder and an originator of residential and commercial mortgage loans. The Company is a provider of title insurance and closing services and a developer of multifamily rental properties. Its segments include Homebuilding, Financial Services, Multifamily, and Lennar Other. The Homebuilding segment primarily includes the construction and sale of single-family attached and detached homes, as well as the purchase, development and sale of residential land directly and through the Company's unconsolidated entities. The Financial Services segment primarily provides mortgage financing, title and closing services primarily for buyers of our homes, as well as property and casualty insurance. The Multifamily segment focuses on developing a geographically diversified portfolio of institutional multifamily rental properties in select United States markets. The Lennar Other segment includes fund investments.</v>
    <v>12532</v>
    <v>New York Stock Exchange</v>
    <v>XNYS</v>
    <v>XNYS</v>
    <v>5505 WATERFORD DISTRICT DRIVE, MIAMI, FL, 33126 US</v>
    <v>88.93</v>
    <v>6</v>
    <v>Homebuilding &amp; Construction Supplies</v>
    <v>Stock</v>
    <v>46259.992531168748</v>
    <v>7</v>
    <v>87.27</v>
    <v>21121682368</v>
    <v>LENNAR CORPORATION</v>
    <v>LENNAR CORPORATION</v>
    <v>88.93</v>
    <v>13.715199999999999</v>
    <v>88.16</v>
    <v>87.68</v>
    <v>88.428700000000006</v>
    <v>240895100</v>
    <v>LEN</v>
    <v>LENNAR CORPORATION (XNYS:LEN)</v>
    <v>2034658</v>
    <v>2403517</v>
    <v>1991</v>
  </rv>
  <rv s="2">
    <v>8</v>
  </rv>
  <rv s="0">
    <v>https://www.bing.com/financeapi/forcetrigger?t=a1pdmw&amp;q=XNYS%3aCCS&amp;form=skydnc</v>
    <v>Learn more on Bing</v>
  </rv>
  <rv s="1">
    <v>en-US</v>
    <v>a1pdmw</v>
    <v>268435456</v>
    <v>1</v>
    <v>Powered by Refinitiv</v>
    <v>0</v>
    <v>CENTURY COMMUNITIES, INC. (XNYS:CCS)</v>
    <v>2</v>
    <v>3</v>
    <v>Finance</v>
    <v>4</v>
    <v>76</v>
    <v>47.274999999999999</v>
    <v>1.2952999999999999</v>
    <v>0.9</v>
    <v>0</v>
    <v>1.2966E-2</v>
    <v>0</v>
    <v>USD</v>
    <v>Century Communities, Inc., together with its subsidiaries, is engaged in the development, design, construction, marketing and sale of single-family attached and detached homes in over 16 states. It builds and sells homes under its Century Communities and Century Complete brands. Its homebuilding operations are organized into five segments: West, Mountain, Texas, Southeast and Century Complete. Its indirect wholly owned subsidiaries, Inspire Home Loans Inc., Parkway Title, LLC, IHL Home Insurance Agency, LLC, and IHL Escrow Inc., which provide mortgage, title, insurance brokerage and escrow services, respectively, primarily to its homebuyers, have been identified as its Financial Services segment. Additionally, its Century Living segment is engaged in the development, construction, management, and sales of multi-family rental properties, all located in Colorado.</v>
    <v>1660</v>
    <v>New York Stock Exchange</v>
    <v>XNYS</v>
    <v>XNYS</v>
    <v>8390 E Crescent Pkwy Ste 650, GREENWOOD VILLAGE, CO, 80111 US</v>
    <v>70.900000000000006</v>
    <v>Homebuilding &amp; Construction Supplies</v>
    <v>Stock</v>
    <v>46259.979191631253</v>
    <v>10</v>
    <v>68.650000000000006</v>
    <v>1999117199</v>
    <v>CENTURY COMMUNITIES, INC.</v>
    <v>CENTURY COMMUNITIES, INC.</v>
    <v>70.900000000000006</v>
    <v>15.4277</v>
    <v>69.41</v>
    <v>70.31</v>
    <v>70.31</v>
    <v>28432900</v>
    <v>CCS</v>
    <v>CENTURY COMMUNITIES, INC. (XNYS:CCS)</v>
    <v>221137</v>
    <v>255176</v>
    <v>2013</v>
  </rv>
  <rv s="2">
    <v>11</v>
  </rv>
  <rv s="0">
    <v>https://www.bing.com/financeapi/forcetrigger?t=a1y327&amp;q=XNYS%3aMTH&amp;form=skydnc</v>
    <v>Learn more on Bing</v>
  </rv>
  <rv s="1">
    <v>en-US</v>
    <v>a1y327</v>
    <v>268435456</v>
    <v>1</v>
    <v>Powered by Refinitiv</v>
    <v>0</v>
    <v>MERITAGE HOMES CORPORATION (XNYS:MTH)</v>
    <v>2</v>
    <v>3</v>
    <v>Finance</v>
    <v>4</v>
    <v>85.38</v>
    <v>58.03</v>
    <v>1.3627</v>
    <v>0.92</v>
    <v>0</v>
    <v>1.2685999999999999E-2</v>
    <v>0</v>
    <v>USD</v>
    <v>Meritage Homes Corporation is a designer and builder of single-family attached and detached homes. The Company’s segments include homebuilding and financial services. The homebuilding segment is engaged in the business of acquiring and developing land, constructing homes, marketing and selling those homes and providing warranty and customer services. It has operations in three regions: West, Central and East, which are comprised of 12 states: Arizona, California, Colorado, Utah, Texas, Alabama, Florida, Georgia, Mississippi, North Carolina, South Carolina, and Tennessee. These three regions are its principal homebuilding segments. The financial services segment offers title and escrow, mortgage, and insurance services. Its financial services operations also provide mortgage services to its homebuyers through an unconsolidated joint venture. The Company’s homebuilding activities are conducted under the name of Meritage Homes in each of its homebuilding markets.</v>
    <v>1860</v>
    <v>New York Stock Exchange</v>
    <v>XNYS</v>
    <v>XNYS</v>
    <v>18655 North Claret Drive, Suite 400, SCOTTSDALE, AZ, 85255 US</v>
    <v>73.52</v>
    <v>Homebuilding &amp; Construction Supplies</v>
    <v>Stock</v>
    <v>46259.979184930467</v>
    <v>13</v>
    <v>71.75</v>
    <v>4786385169</v>
    <v>MERITAGE HOMES CORPORATION</v>
    <v>MERITAGE HOMES CORPORATION</v>
    <v>73.37</v>
    <v>15.345700000000001</v>
    <v>72.52</v>
    <v>73.44</v>
    <v>73.44</v>
    <v>65174090</v>
    <v>MTH</v>
    <v>MERITAGE HOMES CORPORATION (XNYS:MTH)</v>
    <v>523988</v>
    <v>756601</v>
    <v>1988</v>
  </rv>
  <rv s="2">
    <v>14</v>
  </rv>
  <rv s="0">
    <v>https://www.bing.com/financeapi/forcetrigger?t=a24f5r&amp;q=XNYS%3aTPH&amp;form=skydnc</v>
    <v>Learn more on Bing</v>
  </rv>
  <rv s="6">
    <v>en-US</v>
    <v>a24f5r</v>
    <v>268435456</v>
    <v>1</v>
    <v>1</v>
    <v>Powered by Refinitiv</v>
    <v>11</v>
    <v>TRI POINTE HOMES, INC. (XNYS:TPH)</v>
    <v>2</v>
    <v>12</v>
    <v>Finance</v>
    <v>13</v>
    <v>46.47</v>
    <v>27.9</v>
    <v>1.3389</v>
    <v>1.0999999999999999E-2</v>
    <v>2.374E-4</v>
    <v>USD</v>
    <v>Tri Pointe Homes, Inc. operates as a homebuilder, which is engaged in the design, construction, and sale of single-family attached and detached homes. It operates in two businesses: homebuilding and financial services. Its homebuilding operations consists of three segments: West Region, which includes Arizona, California, Nevada, and Washington; Central Region, which includes Colorado, Texas and Utah, and East Region, which includes the District of Columbia, Florida, Maryland, North Carolina, South Carolina, and Virginia. Its financial services operation (Tri Pointe Solutions) comprises its Tri Pointe Connect mortgage financing operations, its Tri Pointe Assurance title and escrow services operations, and its Tri Pointe Advantage property and casualty insurance agency operations. Tri Pointe Solutions provides mortgage loans to homebuyers through Tri Pointe Connect, title and escrow services through Tri Pointe Assurance, and property and casualty insurance through Tri Pointe Advantage.</v>
    <v>1750</v>
    <v>New York Stock Exchange</v>
    <v>XNYS</v>
    <v>XNYS</v>
    <v>940 Southwood Blvd, Suite 200, INCLINE VILLAGE, NV, 89451 US</v>
    <v>46.38</v>
    <v>Homebuilding &amp; Construction Supplies</v>
    <v>Stock</v>
    <v>46072.612861284375</v>
    <v>16</v>
    <v>46.3</v>
    <v>3915720428</v>
    <v>TRI POINTE HOMES, INC.</v>
    <v>TRI POINTE HOMES, INC.</v>
    <v>46.33</v>
    <v>13.688599999999999</v>
    <v>46.34</v>
    <v>46.350999999999999</v>
    <v>84479740</v>
    <v>TPH</v>
    <v>TRI POINTE HOMES, INC. (XNYS:TPH)</v>
    <v>920857</v>
    <v>2169497</v>
    <v>2015</v>
  </rv>
  <rv s="2">
    <v>17</v>
  </rv>
  <rv s="0">
    <v>https://www.bing.com/financeapi/forcetrigger?t=a1r1lh&amp;q=XNYS%3aDHI&amp;form=skydnc</v>
    <v>Learn more on Bing</v>
  </rv>
  <rv s="1">
    <v>en-US</v>
    <v>a1r1lh</v>
    <v>268435456</v>
    <v>1</v>
    <v>Powered by Refinitiv</v>
    <v>0</v>
    <v>D.R. HORTON, INC. (XNYS:DHI)</v>
    <v>2</v>
    <v>3</v>
    <v>Finance</v>
    <v>4</v>
    <v>184.54499999999999</v>
    <v>131.75</v>
    <v>1.3759999999999999</v>
    <v>1.83</v>
    <v>0</v>
    <v>1.2284E-2</v>
    <v>0</v>
    <v>USD</v>
    <v>D.R. Horton, Inc. is a homebuilding company. The Company is primarily engaged in the acquisition and development of land and the construction and sale of residential homes, with operations in over 126 markets across 36 states. The Company’s segments include Homebuilding, Rental, Forestar, Financial Services, and Other. The Homebuilding division is primarily engaged in the acquisition and development of land and the construction and sale of residential homes. The Company’s rental segment consists of single-family and multifamily rental operations. The single-family rental operations construct and lease single-family homes within a community and then generally market each community for a bulk sale of rental homes. The Forestar segment is a residential lot development company with operations in 64 markets across 23 states. The Financial services segment provides mortgage financing and title agency services to homebuyers in many of the Company’s homebuilding markets.</v>
    <v>14341</v>
    <v>New York Stock Exchange</v>
    <v>XNYS</v>
    <v>XNYS</v>
    <v>1341 Horton Circle, ARLINGTON, TX, 76011 US</v>
    <v>150.99</v>
    <v>Homebuilding &amp; Construction Supplies</v>
    <v>Stock</v>
    <v>46259.97918524297</v>
    <v>19</v>
    <v>147.56</v>
    <v>42178956040</v>
    <v>D.R. HORTON, INC.</v>
    <v>D.R. HORTON, INC.</v>
    <v>150.11000000000001</v>
    <v>14.345000000000001</v>
    <v>148.97</v>
    <v>150.80000000000001</v>
    <v>150.80000000000001</v>
    <v>279701300</v>
    <v>DHI</v>
    <v>D.R. HORTON, INC. (XNYS:DHI)</v>
    <v>1189510</v>
    <v>2359638</v>
    <v>1991</v>
  </rv>
  <rv s="2">
    <v>20</v>
  </rv>
  <rv s="0">
    <v>https://www.bing.com/financeapi/forcetrigger?t=a1zutc&amp;q=XNYS%3aPHM&amp;form=skydnc</v>
    <v>Learn more on Bing</v>
  </rv>
  <rv s="1">
    <v>en-US</v>
    <v>a1zutc</v>
    <v>268435456</v>
    <v>1</v>
    <v>Powered by Refinitiv</v>
    <v>0</v>
    <v>PULTEGROUP, INC. (XNYS:PHM)</v>
    <v>2</v>
    <v>3</v>
    <v>Finance</v>
    <v>4</v>
    <v>144.495</v>
    <v>108.49</v>
    <v>1.2057</v>
    <v>1.25</v>
    <v>-4.1270000000000005E-3</v>
    <v>9.6439999999999998E-3</v>
    <v>-0.54010000000000002</v>
    <v>USD</v>
    <v>PulteGroup, Inc. is a homebuilder in the United States. The Company's segments include Homebuilding and Financial Services. Its Homebuilding operations involve acquisition and development of land primarily for residential purposes within the United States and the construction of housing on such land. Its financial services business segment includes mortgage banking, title, and insurance agency operations, through Pulte Mortgage LLC (Pulte Mortgage) and other subsidiaries. Pulte Mortgage arranges financing through the origination of mortgage loans primarily for the benefit of its homebuyers. Its homebuilding operations are aggregated into six segments: Northeast, Southeast, Florida, Midwest, Texas and West. The Company, through its brand portfolio that includes Centex, Pulte Homes, Del Webb, DiVosta Homes, American West and John Wieland Homes and Neighborhoods, offers a variety of home designs with varying levels of options and amenities to its customer groups.</v>
    <v>6506</v>
    <v>New York Stock Exchange</v>
    <v>XNYS</v>
    <v>XNYS</v>
    <v>3350 Peachtree Road Northeast, Suite 1500, ATLANTA, GA, 30326 US</v>
    <v>131.52000000000001</v>
    <v>Homebuilding &amp; Construction Supplies</v>
    <v>Stock</v>
    <v>46259.983881435153</v>
    <v>22</v>
    <v>128.34010000000001</v>
    <v>24530034150</v>
    <v>PULTEGROUP, INC.</v>
    <v>PULTEGROUP, INC.</v>
    <v>131.02000000000001</v>
    <v>13.2387</v>
    <v>129.61000000000001</v>
    <v>130.86000000000001</v>
    <v>130.31989999999999</v>
    <v>187452500</v>
    <v>PHM</v>
    <v>PULTEGROUP, INC. (XNYS:PHM)</v>
    <v>950375</v>
    <v>1640340</v>
    <v>1987</v>
  </rv>
  <rv s="2">
    <v>23</v>
  </rv>
  <rv s="7">
    <fb>43252</fb>
    <v>14</v>
  </rv>
  <rv s="7">
    <fb>9.8000000000000007</fb>
    <v>15</v>
  </rv>
  <rv s="7">
    <fb>50.448799999999999</fb>
    <v>15</v>
  </rv>
  <rv s="7">
    <fb>31.55</fb>
    <v>15</v>
  </rv>
  <rv s="7">
    <fb>21.975000000000001</fb>
    <v>15</v>
  </rv>
  <rv s="7">
    <fb>16.36</fb>
    <v>15</v>
  </rv>
  <rv s="7">
    <fb>41</fb>
    <v>15</v>
  </rv>
  <rv s="7">
    <fb>28.75</fb>
    <v>15</v>
  </rv>
  <rv s="7">
    <fb>43282</fb>
    <v>14</v>
  </rv>
  <rv s="7">
    <fb>9.6999999999999993</fb>
    <v>15</v>
  </rv>
  <rv s="7">
    <fb>50.227800000000002</fb>
    <v>15</v>
  </rv>
  <rv s="7">
    <fb>30.5</fb>
    <v>15</v>
  </rv>
  <rv s="7">
    <fb>21.574999999999999</fb>
    <v>15</v>
  </rv>
  <rv s="7">
    <fb>14.17</fb>
    <v>15</v>
  </rv>
  <rv s="7">
    <fb>43.7</fb>
    <v>15</v>
  </rv>
  <rv s="7">
    <fb>28.49</fb>
    <v>15</v>
  </rv>
  <rv s="7">
    <fb>43313</fb>
    <v>14</v>
  </rv>
  <rv s="7">
    <fb>10.45</fb>
    <v>15</v>
  </rv>
  <rv s="7">
    <fb>49.651299999999999</fb>
    <v>15</v>
  </rv>
  <rv s="7">
    <fb>29.25</fb>
    <v>15</v>
  </rv>
  <rv s="7">
    <fb>14.49</fb>
    <v>15</v>
  </rv>
  <rv s="7">
    <fb>44.51</fb>
    <v>15</v>
  </rv>
  <rv s="7">
    <fb>27.95</fb>
    <v>15</v>
  </rv>
  <rv s="7">
    <fb>43344</fb>
    <v>14</v>
  </rv>
  <rv s="7">
    <fb>10.1</fb>
    <v>15</v>
  </rv>
  <rv s="7">
    <fb>44.8658</fb>
    <v>15</v>
  </rv>
  <rv s="7">
    <fb>26.25</fb>
    <v>15</v>
  </rv>
  <rv s="7">
    <fb>19.95</fb>
    <v>15</v>
  </rv>
  <rv s="7">
    <fb>12.4</fb>
    <v>15</v>
  </rv>
  <rv s="7">
    <fb>42.18</fb>
    <v>15</v>
  </rv>
  <rv s="7">
    <fb>24.77</fb>
    <v>15</v>
  </rv>
  <rv s="7">
    <fb>43374</fb>
    <v>14</v>
  </rv>
  <rv s="7">
    <fb>9.4</fb>
    <v>15</v>
  </rv>
  <rv s="7">
    <fb>41.300800000000002</fb>
    <v>15</v>
  </rv>
  <rv s="7">
    <fb>21.22</fb>
    <v>15</v>
  </rv>
  <rv s="7">
    <fb>18.625</fb>
    <v>15</v>
  </rv>
  <rv s="7">
    <fb>11.9</fb>
    <v>15</v>
  </rv>
  <rv s="7">
    <fb>35.96</fb>
    <v>15</v>
  </rv>
  <rv s="7">
    <fb>24.57</fb>
    <v>15</v>
  </rv>
  <rv s="7">
    <fb>43405</fb>
    <v>14</v>
  </rv>
  <rv s="7">
    <fb>8.3000000000000007</fb>
    <v>15</v>
  </rv>
  <rv s="7">
    <fb>41.060499999999998</fb>
    <v>15</v>
  </rv>
  <rv s="7">
    <fb>20.57</fb>
    <v>15</v>
  </rv>
  <rv s="7">
    <fb>19.125</fb>
    <v>15</v>
  </rv>
  <rv s="7">
    <fb>12.48</fb>
    <v>15</v>
  </rv>
  <rv s="7">
    <fb>37.22</fb>
    <v>15</v>
  </rv>
  <rv s="7">
    <fb>26.52</fb>
    <v>15</v>
  </rv>
  <rv s="7">
    <fb>43435</fb>
    <v>14</v>
  </rv>
  <rv s="7">
    <fb>7.24</fb>
    <v>15</v>
  </rv>
  <rv s="7">
    <fb>37.620399999999997</fb>
    <v>15</v>
  </rv>
  <rv s="7">
    <fb>17.260000000000002</fb>
    <v>15</v>
  </rv>
  <rv s="7">
    <fb>18.36</fb>
    <v>15</v>
  </rv>
  <rv s="7">
    <fb>10.93</fb>
    <v>15</v>
  </rv>
  <rv s="7">
    <fb>34.659999999999997</fb>
    <v>15</v>
  </rv>
  <rv s="7">
    <fb>25.99</fb>
    <v>15</v>
  </rv>
  <rv s="7">
    <fb>43466</fb>
    <v>14</v>
  </rv>
  <rv s="7">
    <fb>8.4600000000000009</fb>
    <v>15</v>
  </rv>
  <rv s="7">
    <fb>45.567300000000003</fb>
    <v>15</v>
  </rv>
  <rv s="7">
    <fb>23.46</fb>
    <v>15</v>
  </rv>
  <rv s="7">
    <fb>22.54</fb>
    <v>15</v>
  </rv>
  <rv s="7">
    <fb>13.45</fb>
    <v>15</v>
  </rv>
  <rv s="7">
    <fb>38.450000000000003</fb>
    <v>15</v>
  </rv>
  <rv s="7">
    <fb>27.81</fb>
    <v>15</v>
  </rv>
  <rv s="7">
    <fb>43497</fb>
    <v>14</v>
  </rv>
  <rv s="7">
    <fb>8.91</fb>
    <v>15</v>
  </rv>
  <rv s="7">
    <fb>46.105400000000003</fb>
    <v>15</v>
  </rv>
  <rv s="7">
    <fb>22.83</fb>
    <v>15</v>
  </rv>
  <rv s="7">
    <fb>21.925000000000001</fb>
    <v>15</v>
  </rv>
  <rv s="7">
    <fb>12.6</fb>
    <v>15</v>
  </rv>
  <rv s="7">
    <fb>38.89</fb>
    <v>15</v>
  </rv>
  <rv s="7">
    <fb>27</fb>
    <v>15</v>
  </rv>
  <rv s="7">
    <fb>43525</fb>
    <v>14</v>
  </rv>
  <rv s="7">
    <fb>8.75</fb>
    <v>15</v>
  </rv>
  <rv s="7">
    <fb>47.1721</fb>
    <v>15</v>
  </rv>
  <rv s="7">
    <fb>23.97</fb>
    <v>15</v>
  </rv>
  <rv s="7">
    <fb>22.355</fb>
    <v>15</v>
  </rv>
  <rv s="7">
    <fb>12.64</fb>
    <v>15</v>
  </rv>
  <rv s="7">
    <fb>41.38</fb>
    <v>15</v>
  </rv>
  <rv s="7">
    <fb>27.96</fb>
    <v>15</v>
  </rv>
  <rv s="7">
    <fb>43556</fb>
    <v>14</v>
  </rv>
  <rv s="7">
    <fb>8.94</fb>
    <v>15</v>
  </rv>
  <rv s="7">
    <fb>49.997199999999999</fb>
    <v>15</v>
  </rv>
  <rv s="7">
    <fb>25.43</fb>
    <v>15</v>
  </rv>
  <rv s="7">
    <fb>25.574999999999999</fb>
    <v>15</v>
  </rv>
  <rv s="7">
    <fb>13.05</fb>
    <v>15</v>
  </rv>
  <rv s="7">
    <fb>44.31</fb>
    <v>15</v>
  </rv>
  <rv s="7">
    <fb>31.46</fb>
    <v>15</v>
  </rv>
  <rv s="7">
    <fb>43586</fb>
    <v>14</v>
  </rv>
  <rv s="7">
    <fb>8.69</fb>
    <v>15</v>
  </rv>
  <rv s="7">
    <fb>47.719799999999999</fb>
    <v>15</v>
  </rv>
  <rv s="7">
    <fb>26.7</fb>
    <v>15</v>
  </rv>
  <rv s="7">
    <fb>25.05</fb>
    <v>15</v>
  </rv>
  <rv s="7">
    <fb>12.3</fb>
    <v>15</v>
  </rv>
  <rv s="7">
    <fb>42.76</fb>
    <v>15</v>
  </rv>
  <rv s="7">
    <fb>31</fb>
    <v>15</v>
  </rv>
  <rv s="7">
    <fb>43617</fb>
    <v>14</v>
  </rv>
  <rv s="7">
    <fb>8.31</fb>
    <v>15</v>
  </rv>
  <rv s="7">
    <fb>46.566699999999997</fb>
    <v>15</v>
  </rv>
  <rv s="7">
    <fb>26.58</fb>
    <v>15</v>
  </rv>
  <rv s="7">
    <fb>25.67</fb>
    <v>15</v>
  </rv>
  <rv s="7">
    <fb>11.97</fb>
    <v>15</v>
  </rv>
  <rv s="7">
    <fb>43.13</fb>
    <v>15</v>
  </rv>
  <rv s="7">
    <fb>31.62</fb>
    <v>15</v>
  </rv>
  <rv s="7">
    <fb>43647</fb>
    <v>14</v>
  </rv>
  <rv s="7">
    <fb>9.41</fb>
    <v>15</v>
  </rv>
  <rv s="7">
    <fb>45.711399999999998</fb>
    <v>15</v>
  </rv>
  <rv s="7">
    <fb>27.57</fb>
    <v>15</v>
  </rv>
  <rv s="7">
    <fb>31.405000000000001</fb>
    <v>15</v>
  </rv>
  <rv s="7">
    <fb>13.69</fb>
    <v>15</v>
  </rv>
  <rv s="7">
    <fb>45.93</fb>
    <v>15</v>
  </rv>
  <rv s="7">
    <fb>31.51</fb>
    <v>15</v>
  </rv>
  <rv s="7">
    <fb>43678</fb>
    <v>14</v>
  </rv>
  <rv s="7">
    <fb>9.19</fb>
    <v>15</v>
  </rv>
  <rv s="7">
    <fb>49.007399999999997</fb>
    <v>15</v>
  </rv>
  <rv s="7">
    <fb>28.18</fb>
    <v>15</v>
  </rv>
  <rv s="7">
    <fb>32.67</fb>
    <v>15</v>
  </rv>
  <rv s="7">
    <fb>14</fb>
    <v>15</v>
  </rv>
  <rv s="7">
    <fb>49.47</fb>
    <v>15</v>
  </rv>
  <rv s="7">
    <fb>33.799999999999997</fb>
    <v>15</v>
  </rv>
  <rv s="7">
    <fb>43709</fb>
    <v>14</v>
  </rv>
  <rv s="7">
    <fb>10.7</fb>
    <v>15</v>
  </rv>
  <rv s="7">
    <fb>53.667900000000003</fb>
    <v>15</v>
  </rv>
  <rv s="7">
    <fb>30.63</fb>
    <v>15</v>
  </rv>
  <rv s="7">
    <fb>35.174999999999997</fb>
    <v>15</v>
  </rv>
  <rv s="7">
    <fb>15.04</fb>
    <v>15</v>
  </rv>
  <rv s="7">
    <fb>52.71</fb>
    <v>15</v>
  </rv>
  <rv s="7">
    <fb>36.549999999999997</fb>
    <v>15</v>
  </rv>
  <rv s="7">
    <fb>43739</fb>
    <v>14</v>
  </rv>
  <rv s="7">
    <fb>10.07</fb>
    <v>15</v>
  </rv>
  <rv s="7">
    <fb>57.2714</fb>
    <v>15</v>
  </rv>
  <rv s="7">
    <fb>30.17</fb>
    <v>15</v>
  </rv>
  <rv s="7">
    <fb>36.045000000000002</fb>
    <v>15</v>
  </rv>
  <rv s="7">
    <fb>15.74</fb>
    <v>15</v>
  </rv>
  <rv s="7">
    <fb>52.37</fb>
    <v>15</v>
  </rv>
  <rv s="7">
    <fb>39.24</fb>
    <v>15</v>
  </rv>
  <rv s="7">
    <fb>43770</fb>
    <v>14</v>
  </rv>
  <rv s="7">
    <fb>11.41</fb>
    <v>15</v>
  </rv>
  <rv s="7">
    <fb>57.319499999999998</fb>
    <v>15</v>
  </rv>
  <rv s="7">
    <fb>28.5</fb>
    <v>15</v>
  </rv>
  <rv s="7">
    <fb>33.270000000000003</fb>
    <v>15</v>
  </rv>
  <rv s="7">
    <fb>15.58</fb>
    <v>15</v>
  </rv>
  <rv s="7">
    <fb>55.35</fb>
    <v>15</v>
  </rv>
  <rv s="7">
    <fb>39.65</fb>
    <v>15</v>
  </rv>
  <rv s="7">
    <fb>43800</fb>
    <v>14</v>
  </rv>
  <rv s="7">
    <fb>11.48</fb>
    <v>15</v>
  </rv>
  <rv s="7">
    <fb>53.610300000000002</fb>
    <v>15</v>
  </rv>
  <rv s="7">
    <fb>27.35</fb>
    <v>15</v>
  </rv>
  <rv s="7">
    <fb>30.555</fb>
    <v>15</v>
  </rv>
  <rv s="7">
    <fb>52.75</fb>
    <v>15</v>
  </rv>
  <rv s="7">
    <fb>38.799999999999997</fb>
    <v>15</v>
  </rv>
  <rv s="7">
    <fb>43831</fb>
    <v>14</v>
  </rv>
  <rv s="7">
    <fb>11.59</fb>
    <v>15</v>
  </rv>
  <rv s="7">
    <fb>63.767299999999999</fb>
    <v>15</v>
  </rv>
  <rv s="7">
    <fb>29.67</fb>
    <v>15</v>
  </rv>
  <rv s="7">
    <fb>35.479999999999997</fb>
    <v>15</v>
  </rv>
  <rv s="7">
    <fb>16.260000000000002</fb>
    <v>15</v>
  </rv>
  <rv s="7">
    <fb>59.2</fb>
    <v>15</v>
  </rv>
  <rv s="7">
    <fb>44.65</fb>
    <v>15</v>
  </rv>
  <rv s="7">
    <fb>43862</fb>
    <v>14</v>
  </rv>
  <rv s="7">
    <fb>10.94</fb>
    <v>15</v>
  </rv>
  <rv s="7">
    <fb>57.982500000000002</fb>
    <v>15</v>
  </rv>
  <rv s="7">
    <fb>33.33</fb>
    <v>15</v>
  </rv>
  <rv s="7">
    <fb>31.73</fb>
    <v>15</v>
  </rv>
  <rv s="7">
    <fb>15.33</fb>
    <v>15</v>
  </rv>
  <rv s="7">
    <fb>53.27</fb>
    <v>15</v>
  </rv>
  <rv s="7">
    <fb>40.200000000000003</fb>
    <v>15</v>
  </rv>
  <rv s="7">
    <fb>43891</fb>
    <v>14</v>
  </rv>
  <rv s="7">
    <fb>8.0500000000000007</fb>
    <v>15</v>
  </rv>
  <rv s="7">
    <fb>36.707500000000003</fb>
    <v>15</v>
  </rv>
  <rv s="7">
    <fb>14.51</fb>
    <v>15</v>
  </rv>
  <rv s="7">
    <fb>18.254999999999999</fb>
    <v>15</v>
  </rv>
  <rv s="7">
    <fb>8.77</fb>
    <v>15</v>
  </rv>
  <rv s="7">
    <fb>34</fb>
    <v>15</v>
  </rv>
  <rv s="7">
    <fb>22.32</fb>
    <v>15</v>
  </rv>
  <rv s="7">
    <fb>43922</fb>
    <v>14</v>
  </rv>
  <rv s="7">
    <fb>48.113799999999998</fb>
    <v>15</v>
  </rv>
  <rv s="7">
    <fb>21.42</fb>
    <v>15</v>
  </rv>
  <rv s="7">
    <fb>26.28</fb>
    <v>15</v>
  </rv>
  <rv s="7">
    <fb>47.22</fb>
    <v>15</v>
  </rv>
  <rv s="7">
    <fb>28.27</fb>
    <v>15</v>
  </rv>
  <rv s="7">
    <fb>43952</fb>
    <v>14</v>
  </rv>
  <rv s="7">
    <fb>58.097799999999999</fb>
    <v>15</v>
  </rv>
  <rv s="7">
    <fb>29.54</fb>
    <v>15</v>
  </rv>
  <rv s="7">
    <fb>34.75</fb>
    <v>15</v>
  </rv>
  <rv s="7">
    <fb>14.32</fb>
    <v>15</v>
  </rv>
  <rv s="7">
    <fb>55.3</fb>
    <v>15</v>
  </rv>
  <rv s="7">
    <fb>33.97</fb>
    <v>15</v>
  </rv>
  <rv s="7">
    <fb>43983</fb>
    <v>14</v>
  </rv>
  <rv s="7">
    <fb>11.85</fb>
    <v>15</v>
  </rv>
  <rv s="7">
    <fb>59.212499999999999</fb>
    <v>15</v>
  </rv>
  <rv s="7">
    <fb>30.66</fb>
    <v>15</v>
  </rv>
  <rv s="7">
    <fb>38.06</fb>
    <v>15</v>
  </rv>
  <rv s="7">
    <fb>14.69</fb>
    <v>15</v>
  </rv>
  <rv s="7">
    <fb>55.45</fb>
    <v>15</v>
  </rv>
  <rv s="7">
    <fb>34.03</fb>
    <v>15</v>
  </rv>
  <rv s="7">
    <fb>44013</fb>
    <v>14</v>
  </rv>
  <rv s="7">
    <fb>13.8</fb>
    <v>15</v>
  </rv>
  <rv s="7">
    <fb>69.523300000000006</fb>
    <v>15</v>
  </rv>
  <rv s="7">
    <fb>35.619999999999997</fb>
    <v>15</v>
  </rv>
  <rv s="7">
    <fb>49.59</fb>
    <v>15</v>
  </rv>
  <rv s="7">
    <fb>16.72</fb>
    <v>15</v>
  </rv>
  <rv s="7">
    <fb>66.16</fb>
    <v>15</v>
  </rv>
  <rv s="7">
    <fb>43.6</fb>
    <v>15</v>
  </rv>
  <rv s="7">
    <fb>44044</fb>
    <v>14</v>
  </rv>
  <rv s="7">
    <fb>14.24</fb>
    <v>15</v>
  </rv>
  <rv s="7">
    <fb>71.896799999999999</fb>
    <v>15</v>
  </rv>
  <rv s="7">
    <fb>35.68</fb>
    <v>15</v>
  </rv>
  <rv s="7">
    <fb>48.015000000000001</fb>
    <v>15</v>
  </rv>
  <rv s="7">
    <fb>16.88</fb>
    <v>15</v>
  </rv>
  <rv s="7">
    <fb>71.37</fb>
    <v>15</v>
  </rv>
  <rv s="7">
    <fb>44.59</fb>
    <v>15</v>
  </rv>
  <rv s="7">
    <fb>44075</fb>
    <v>14</v>
  </rv>
  <rv s="7">
    <fb>16.100000000000001</fb>
    <v>15</v>
  </rv>
  <rv s="7">
    <fb>78.488799999999998</fb>
    <v>15</v>
  </rv>
  <rv s="7">
    <fb>42.33</fb>
    <v>15</v>
  </rv>
  <rv s="7">
    <fb>55.195</fb>
    <v>15</v>
  </rv>
  <rv s="7">
    <fb>18.14</fb>
    <v>15</v>
  </rv>
  <rv s="7">
    <fb>75.63</fb>
    <v>15</v>
  </rv>
  <rv s="7">
    <fb>46.29</fb>
    <v>15</v>
  </rv>
  <rv s="7">
    <fb>44105</fb>
    <v>14</v>
  </rv>
  <rv s="7">
    <fb>17.89</fb>
    <v>15</v>
  </rv>
  <rv s="7">
    <fb>67.486099999999993</fb>
    <v>15</v>
  </rv>
  <rv s="7">
    <fb>38.840000000000003</fb>
    <v>15</v>
  </rv>
  <rv s="7">
    <fb>43.545000000000002</fb>
    <v>15</v>
  </rv>
  <rv s="7">
    <fb>16.43</fb>
    <v>15</v>
  </rv>
  <rv s="7">
    <fb>66.81</fb>
    <v>15</v>
  </rv>
  <rv s="7">
    <fb>40.76</fb>
    <v>15</v>
  </rv>
  <rv s="7">
    <fb>44136</fb>
    <v>14</v>
  </rv>
  <rv s="7">
    <fb>21.77</fb>
    <v>15</v>
  </rv>
  <rv s="7">
    <fb>72.896100000000004</fb>
    <v>15</v>
  </rv>
  <rv s="7">
    <fb>44.5</fb>
    <v>15</v>
  </rv>
  <rv s="7">
    <fb>45.075000000000003</fb>
    <v>15</v>
  </rv>
  <rv s="7">
    <fb>17.48</fb>
    <v>15</v>
  </rv>
  <rv s="7">
    <fb>74.5</fb>
    <v>15</v>
  </rv>
  <rv s="7">
    <fb>43.63</fb>
    <v>15</v>
  </rv>
  <rv s="7">
    <fb>44166</fb>
    <v>14</v>
  </rv>
  <rv s="7">
    <fb>22.96</fb>
    <v>15</v>
  </rv>
  <rv s="7">
    <fb>73.2517</fb>
    <v>15</v>
  </rv>
  <rv s="7">
    <fb>43.78</fb>
    <v>15</v>
  </rv>
  <rv s="7">
    <fb>41.41</fb>
    <v>15</v>
  </rv>
  <rv s="7">
    <fb>17.25</fb>
    <v>15</v>
  </rv>
  <rv s="7">
    <fb>68.92</fb>
    <v>15</v>
  </rv>
  <rv s="7">
    <fb>43.12</fb>
    <v>15</v>
  </rv>
  <rv s="7">
    <fb>44197</fb>
    <v>14</v>
  </rv>
  <rv s="7">
    <fb>19.899999999999999</fb>
    <v>15</v>
  </rv>
  <rv s="7">
    <fb>79.901300000000006</fb>
    <v>15</v>
  </rv>
  <rv s="7">
    <fb>46.94</fb>
    <v>15</v>
  </rv>
  <rv s="7">
    <fb>40.130000000000003</fb>
    <v>15</v>
  </rv>
  <rv s="7">
    <fb>20.2</fb>
    <v>15</v>
  </rv>
  <rv s="7">
    <fb>76.8</fb>
    <v>15</v>
  </rv>
  <rv s="7">
    <fb>43.5</fb>
    <v>15</v>
  </rv>
  <rv s="7">
    <fb>44228</fb>
    <v>14</v>
  </rv>
  <rv s="7">
    <fb>19.73</fb>
    <v>15</v>
  </rv>
  <rv s="7">
    <fb>79.728399999999993</fb>
    <v>15</v>
  </rv>
  <rv s="7">
    <fb>55.33</fb>
    <v>15</v>
  </rv>
  <rv s="7">
    <fb>42.155000000000001</fb>
    <v>15</v>
  </rv>
  <rv s="7">
    <fb>19</fb>
    <v>15</v>
  </rv>
  <rv s="7">
    <fb>76.87</fb>
    <v>15</v>
  </rv>
  <rv s="7">
    <fb>45.11</fb>
    <v>15</v>
  </rv>
  <rv s="7">
    <fb>44256</fb>
    <v>14</v>
  </rv>
  <rv s="7">
    <fb>22.68</fb>
    <v>15</v>
  </rv>
  <rv s="7">
    <fb>97.274900000000002</fb>
    <v>15</v>
  </rv>
  <rv s="7">
    <fb>60.32</fb>
    <v>15</v>
  </rv>
  <rv s="7">
    <fb>45.96</fb>
    <v>15</v>
  </rv>
  <rv s="7">
    <fb>20.36</fb>
    <v>15</v>
  </rv>
  <rv s="7">
    <fb>89.12</fb>
    <v>15</v>
  </rv>
  <rv s="7">
    <fb>52.44</fb>
    <v>15</v>
  </rv>
  <rv s="7">
    <fb>44287</fb>
    <v>14</v>
  </rv>
  <rv s="7">
    <fb>25.81</fb>
    <v>15</v>
  </rv>
  <rv s="7">
    <fb>99.552300000000002</fb>
    <v>15</v>
  </rv>
  <rv s="7">
    <fb>73.94</fb>
    <v>15</v>
  </rv>
  <rv s="7">
    <fb>53.195</fb>
    <v>15</v>
  </rv>
  <rv s="7">
    <fb>23.82</fb>
    <v>15</v>
  </rv>
  <rv s="7">
    <fb>98.29</fb>
    <v>15</v>
  </rv>
  <rv s="7">
    <fb>59.12</fb>
    <v>15</v>
  </rv>
  <rv s="7">
    <fb>44317</fb>
    <v>14</v>
  </rv>
  <rv s="7">
    <fb>23.34</fb>
    <v>15</v>
  </rv>
  <rv s="7">
    <fb>95.1417</fb>
    <v>15</v>
  </rv>
  <rv s="7">
    <fb>81.38</fb>
    <v>15</v>
  </rv>
  <rv s="7">
    <fb>53.835000000000001</fb>
    <v>15</v>
  </rv>
  <rv s="7">
    <fb>24.12</fb>
    <v>15</v>
  </rv>
  <rv s="7">
    <fb>95.29</fb>
    <v>15</v>
  </rv>
  <rv s="7">
    <fb>57.79</fb>
    <v>15</v>
  </rv>
  <rv s="7">
    <fb>44348</fb>
    <v>14</v>
  </rv>
  <rv s="7">
    <fb>22.74</fb>
    <v>15</v>
  </rv>
  <rv s="7">
    <fb>95.468400000000003</fb>
    <v>15</v>
  </rv>
  <rv s="7">
    <fb>66.540000000000006</fb>
    <v>15</v>
  </rv>
  <rv s="7">
    <fb>47.04</fb>
    <v>15</v>
  </rv>
  <rv s="7">
    <fb>21.43</fb>
    <v>15</v>
  </rv>
  <rv s="7">
    <fb>90.37</fb>
    <v>15</v>
  </rv>
  <rv s="7">
    <fb>54.57</fb>
    <v>15</v>
  </rv>
  <rv s="7">
    <fb>44378</fb>
    <v>14</v>
  </rv>
  <rv s="7">
    <fb>25.07</fb>
    <v>15</v>
  </rv>
  <rv s="7">
    <fb>101.04179999999999</fb>
    <v>15</v>
  </rv>
  <rv s="7">
    <fb>69.45</fb>
    <v>15</v>
  </rv>
  <rv s="7">
    <fb>54.29</fb>
    <v>15</v>
  </rv>
  <rv s="7">
    <fb>95.43</fb>
    <v>15</v>
  </rv>
  <rv s="7">
    <fb>54.87</fb>
    <v>15</v>
  </rv>
  <rv s="7">
    <fb>44409</fb>
    <v>14</v>
  </rv>
  <rv s="7">
    <fb>24.99</fb>
    <v>15</v>
  </rv>
  <rv s="7">
    <fb>103.1174</fb>
    <v>15</v>
  </rv>
  <rv s="7">
    <fb>70.099999999999994</fb>
    <v>15</v>
  </rv>
  <rv s="7">
    <fb>55.77</fb>
    <v>15</v>
  </rv>
  <rv s="7">
    <fb>23.77</fb>
    <v>15</v>
  </rv>
  <rv s="7">
    <fb>95.62</fb>
    <v>15</v>
  </rv>
  <rv s="7">
    <fb>53.86</fb>
    <v>15</v>
  </rv>
  <rv s="7">
    <fb>44440</fb>
    <v>14</v>
  </rv>
  <rv s="7">
    <fb>20.52</fb>
    <v>15</v>
  </rv>
  <rv s="7">
    <fb>90.019900000000007</fb>
    <v>15</v>
  </rv>
  <rv s="7">
    <fb>61.45</fb>
    <v>15</v>
  </rv>
  <rv s="7">
    <fb>48.5</fb>
    <v>15</v>
  </rv>
  <rv s="7">
    <fb>21.02</fb>
    <v>15</v>
  </rv>
  <rv s="7">
    <fb>83.97</fb>
    <v>15</v>
  </rv>
  <rv s="7">
    <fb>45.92</fb>
    <v>15</v>
  </rv>
  <rv s="7">
    <fb>44470</fb>
    <v>14</v>
  </rv>
  <rv s="7">
    <fb>26.05</fb>
    <v>15</v>
  </rv>
  <rv s="7">
    <fb>96.025700000000001</fb>
    <v>15</v>
  </rv>
  <rv s="7">
    <fb>67.06</fb>
    <v>15</v>
  </rv>
  <rv s="7">
    <fb>54.354999999999997</fb>
    <v>15</v>
  </rv>
  <rv s="7">
    <fb>24.19</fb>
    <v>15</v>
  </rv>
  <rv s="7">
    <fb>89.27</fb>
    <v>15</v>
  </rv>
  <rv s="7">
    <fb>48.08</fb>
    <v>15</v>
  </rv>
  <rv s="7">
    <fb>44501</fb>
    <v>14</v>
  </rv>
  <rv s="7">
    <fb>24.95</fb>
    <v>15</v>
  </rv>
  <rv s="7">
    <fb>100.9457</fb>
    <v>15</v>
  </rv>
  <rv s="7">
    <fb>71.069999999999993</fb>
    <v>15</v>
  </rv>
  <rv s="7">
    <fb>56.43</fb>
    <v>15</v>
  </rv>
  <rv s="7">
    <fb>24.97</fb>
    <v>15</v>
  </rv>
  <rv s="7">
    <fb>97.7</fb>
    <v>15</v>
  </rv>
  <rv s="7">
    <fb>50.03</fb>
    <v>15</v>
  </rv>
  <rv s="7">
    <fb>44531</fb>
    <v>14</v>
  </rv>
  <rv s="7">
    <fb>30.33</fb>
    <v>15</v>
  </rv>
  <rv s="7">
    <fb>111.6216</fb>
    <v>15</v>
  </rv>
  <rv s="7">
    <fb>81.790000000000006</fb>
    <v>15</v>
  </rv>
  <rv s="7">
    <fb>61.03</fb>
    <v>15</v>
  </rv>
  <rv s="7">
    <fb>27.89</fb>
    <v>15</v>
  </rv>
  <rv s="7">
    <fb>108.45</fb>
    <v>15</v>
  </rv>
  <rv s="7">
    <fb>57.16</fb>
    <v>15</v>
  </rv>
  <rv s="7">
    <fb>44562</fb>
    <v>14</v>
  </rv>
  <rv s="7">
    <fb>23.68</fb>
    <v>15</v>
  </rv>
  <rv s="7">
    <fb>92.355000000000004</fb>
    <v>15</v>
  </rv>
  <rv s="7">
    <fb>65.849999999999994</fb>
    <v>15</v>
  </rv>
  <rv s="7">
    <fb>51.015000000000001</fb>
    <v>15</v>
  </rv>
  <rv s="7">
    <fb>23.81</fb>
    <v>15</v>
  </rv>
  <rv s="7">
    <fb>89.22</fb>
    <v>15</v>
  </rv>
  <rv s="7">
    <fb>52.69</fb>
    <v>15</v>
  </rv>
  <rv s="7">
    <fb>44593</fb>
    <v>14</v>
  </rv>
  <rv s="7">
    <fb>23.19</fb>
    <v>15</v>
  </rv>
  <rv s="7">
    <fb>86.368399999999994</fb>
    <v>15</v>
  </rv>
  <rv s="7">
    <fb>63.72</fb>
    <v>15</v>
  </rv>
  <rv s="7">
    <fb>49.29</fb>
    <v>15</v>
  </rv>
  <rv s="7">
    <fb>22.37</fb>
    <v>15</v>
  </rv>
  <rv s="7">
    <fb>85.4</fb>
    <v>15</v>
  </rv>
  <rv s="7">
    <fb>49.66</fb>
    <v>15</v>
  </rv>
  <rv s="7">
    <fb>44621</fb>
    <v>14</v>
  </rv>
  <rv s="7">
    <fb>19.760000000000002</fb>
    <v>15</v>
  </rv>
  <rv s="7">
    <fb>77.998699999999999</fb>
    <v>15</v>
  </rv>
  <rv s="7">
    <fb>53.57</fb>
    <v>15</v>
  </rv>
  <rv s="7">
    <fb>39.615000000000002</fb>
    <v>15</v>
  </rv>
  <rv s="7">
    <fb>20.079999999999998</fb>
    <v>15</v>
  </rv>
  <rv s="7">
    <fb>74.510000000000005</fb>
    <v>15</v>
  </rv>
  <rv s="7">
    <fb>41.9</fb>
    <v>15</v>
  </rv>
  <rv s="7">
    <fb>44652</fb>
    <v>14</v>
  </rv>
  <rv s="7">
    <fb>19.7</fb>
    <v>15</v>
  </rv>
  <rv s="7">
    <fb>73.501499999999993</fb>
    <v>15</v>
  </rv>
  <rv s="7">
    <fb>52.72</fb>
    <v>15</v>
  </rv>
  <rv s="7">
    <fb>41.274999999999999</fb>
    <v>15</v>
  </rv>
  <rv s="7">
    <fb>20.67</fb>
    <v>15</v>
  </rv>
  <rv s="7">
    <fb>69.59</fb>
    <v>15</v>
  </rv>
  <rv s="7">
    <fb>41.76</fb>
    <v>15</v>
  </rv>
  <rv s="7">
    <fb>44682</fb>
    <v>14</v>
  </rv>
  <rv s="7">
    <fb>24.32</fb>
    <v>15</v>
  </rv>
  <rv s="7">
    <fb>77.114599999999996</fb>
    <v>15</v>
  </rv>
  <rv s="7">
    <fb>54.37</fb>
    <v>15</v>
  </rv>
  <rv s="7">
    <fb>42.655000000000001</fb>
    <v>15</v>
  </rv>
  <rv s="7">
    <fb>21.07</fb>
    <v>15</v>
  </rv>
  <rv s="7">
    <fb>75.150000000000006</fb>
    <v>15</v>
  </rv>
  <rv s="7">
    <fb>45.26</fb>
    <v>15</v>
  </rv>
  <rv s="7">
    <fb>44713</fb>
    <v>14</v>
  </rv>
  <rv s="7">
    <fb>19.57</fb>
    <v>15</v>
  </rv>
  <rv s="7">
    <fb>67.812799999999996</fb>
    <v>15</v>
  </rv>
  <rv s="7">
    <fb>44.97</fb>
    <v>15</v>
  </rv>
  <rv s="7">
    <fb>36.25</fb>
    <v>15</v>
  </rv>
  <rv s="7">
    <fb>16.87</fb>
    <v>15</v>
  </rv>
  <rv s="7">
    <fb>66.19</fb>
    <v>15</v>
  </rv>
  <rv s="7">
    <fb>39.630000000000003</fb>
    <v>15</v>
  </rv>
  <rv s="7">
    <fb>44743</fb>
    <v>14</v>
  </rv>
  <rv s="7">
    <fb>26.8</fb>
    <v>15</v>
  </rv>
  <rv s="7">
    <fb>81.679000000000002</fb>
    <v>15</v>
  </rv>
  <rv s="7">
    <fb>51.17</fb>
    <v>15</v>
  </rv>
  <rv s="7">
    <fb>44.15</fb>
    <v>15</v>
  </rv>
  <rv s="7">
    <fb>18.52</fb>
    <v>15</v>
  </rv>
  <rv s="7">
    <fb>78.03</fb>
    <v>15</v>
  </rv>
  <rv s="7">
    <fb>43.62</fb>
    <v>15</v>
  </rv>
  <rv s="7">
    <fb>44774</fb>
    <v>14</v>
  </rv>
  <rv s="7">
    <fb>24.36</fb>
    <v>15</v>
  </rv>
  <rv s="7">
    <fb>74.424000000000007</fb>
    <v>15</v>
  </rv>
  <rv s="7">
    <fb>46.69</fb>
    <v>15</v>
  </rv>
  <rv s="7">
    <fb>39.174999999999997</fb>
    <v>15</v>
  </rv>
  <rv s="7">
    <fb>17.329999999999998</fb>
    <v>15</v>
  </rv>
  <rv s="7">
    <fb>71.150000000000006</fb>
    <v>15</v>
  </rv>
  <rv s="7">
    <fb>40.659999999999997</fb>
    <v>15</v>
  </rv>
  <rv s="7">
    <fb>44805</fb>
    <v>14</v>
  </rv>
  <rv s="7">
    <fb>21.38</fb>
    <v>15</v>
  </rv>
  <rv s="7">
    <fb>71.637299999999996</fb>
    <v>15</v>
  </rv>
  <rv s="7">
    <fb>42.78</fb>
    <v>15</v>
  </rv>
  <rv s="7">
    <fb>35.134999999999998</fb>
    <v>15</v>
  </rv>
  <rv s="7">
    <fb>15.11</fb>
    <v>15</v>
  </rv>
  <rv s="7">
    <fb>67.349999999999994</fb>
    <v>15</v>
  </rv>
  <rv s="7">
    <fb>37.5</fb>
    <v>15</v>
  </rv>
  <rv s="7">
    <fb>44835</fb>
    <v>14</v>
  </rv>
  <rv s="7">
    <fb>23.13</fb>
    <v>15</v>
  </rv>
  <rv s="7">
    <fb>77.5471</fb>
    <v>15</v>
  </rv>
  <rv s="7">
    <fb>38.08</fb>
    <v>15</v>
  </rv>
  <rv s="7">
    <fb>16.75</fb>
    <v>15</v>
  </rv>
  <rv s="7">
    <fb>76.88</fb>
    <v>15</v>
  </rv>
  <rv s="7">
    <fb>39.99</fb>
    <v>15</v>
  </rv>
  <rv s="7">
    <fb>44866</fb>
    <v>14</v>
  </rv>
  <rv s="7">
    <fb>24.18</fb>
    <v>15</v>
  </rv>
  <rv s="7">
    <fb>84.398499999999999</fb>
    <v>15</v>
  </rv>
  <rv s="7">
    <fb>48.16</fb>
    <v>15</v>
  </rv>
  <rv s="7">
    <fb>43.204999999999998</fb>
    <v>15</v>
  </rv>
  <rv s="7">
    <fb>18.440000000000001</fb>
    <v>15</v>
  </rv>
  <rv s="7">
    <fb>86</fb>
    <v>15</v>
  </rv>
  <rv s="7">
    <fb>44.78</fb>
    <v>15</v>
  </rv>
  <rv s="7">
    <fb>44896</fb>
    <v>14</v>
  </rv>
  <rv s="7">
    <fb>24.23</fb>
    <v>15</v>
  </rv>
  <rv s="7">
    <fb>86.964200000000005</fb>
    <v>15</v>
  </rv>
  <rv s="7">
    <fb>50.01</fb>
    <v>15</v>
  </rv>
  <rv s="7">
    <fb>46.1</fb>
    <v>15</v>
  </rv>
  <rv s="7">
    <fb>18.59</fb>
    <v>15</v>
  </rv>
  <rv s="7">
    <fb>89.14</fb>
    <v>15</v>
  </rv>
  <rv s="7">
    <fb>45.53</fb>
    <v>15</v>
  </rv>
  <rv s="7">
    <fb>44927</fb>
    <v>14</v>
  </rv>
  <rv s="7">
    <fb>31.2</fb>
    <v>15</v>
  </rv>
  <rv s="7">
    <fb>98.399199999999993</fb>
    <v>15</v>
  </rv>
  <rv s="7">
    <fb>61.2</fb>
    <v>15</v>
  </rv>
  <rv s="7">
    <fb>53.844999999999999</fb>
    <v>15</v>
  </rv>
  <rv s="7">
    <fb>22.09</fb>
    <v>15</v>
  </rv>
  <rv s="7">
    <fb>98.69</fb>
    <v>15</v>
  </rv>
  <rv s="7">
    <fb>56.89</fb>
    <v>15</v>
  </rv>
  <rv s="7">
    <fb>44958</fb>
    <v>14</v>
  </rv>
  <rv s="7">
    <fb>92.960400000000007</fb>
    <v>15</v>
  </rv>
  <rv s="7">
    <fb>59.81</fb>
    <v>15</v>
  </rv>
  <rv s="7">
    <fb>54.615000000000002</fb>
    <v>15</v>
  </rv>
  <rv s="7">
    <fb>23.84</fb>
    <v>15</v>
  </rv>
  <rv s="7">
    <fb>92.48</fb>
    <v>15</v>
  </rv>
  <rv s="7">
    <fb>54.67</fb>
    <v>15</v>
  </rv>
  <rv s="7">
    <fb>44986</fb>
    <v>14</v>
  </rv>
  <rv s="7">
    <fb>35.06</fb>
    <v>15</v>
  </rv>
  <rv s="7">
    <fb>101.0034</fb>
    <v>15</v>
  </rv>
  <rv s="7">
    <fb>63.92</fb>
    <v>15</v>
  </rv>
  <rv s="7">
    <fb>58.38</fb>
    <v>15</v>
  </rv>
  <rv s="7">
    <fb>25.32</fb>
    <v>15</v>
  </rv>
  <rv s="7">
    <fb>97.69</fb>
    <v>15</v>
  </rv>
  <rv s="7">
    <fb>58.28</fb>
    <v>15</v>
  </rv>
  <rv s="7">
    <fb>45017</fb>
    <v>14</v>
  </rv>
  <rv s="7">
    <fb>37.270000000000003</fb>
    <v>15</v>
  </rv>
  <rv s="7">
    <fb>108.4025</fb>
    <v>15</v>
  </rv>
  <rv s="7">
    <fb>67.34</fb>
    <v>15</v>
  </rv>
  <rv s="7">
    <fb>64.025000000000006</fb>
    <v>15</v>
  </rv>
  <rv s="7">
    <fb>28.68</fb>
    <v>15</v>
  </rv>
  <rv s="7">
    <fb>109.82</fb>
    <v>15</v>
  </rv>
  <rv s="7">
    <fb>67.150000000000006</fb>
    <v>15</v>
  </rv>
  <rv s="7">
    <fb>45047</fb>
    <v>14</v>
  </rv>
  <rv s="7">
    <fb>47.87</fb>
    <v>15</v>
  </rv>
  <rv s="7">
    <fb>102.9348</fb>
    <v>15</v>
  </rv>
  <rv s="7">
    <fb>63.63</fb>
    <v>15</v>
  </rv>
  <rv s="7">
    <fb>57.664999999999999</fb>
    <v>15</v>
  </rv>
  <rv s="7">
    <fb>29.21</fb>
    <v>15</v>
  </rv>
  <rv s="7">
    <fb>106.84</fb>
    <v>15</v>
  </rv>
  <rv s="7">
    <fb>66.08</fb>
    <v>15</v>
  </rv>
  <rv s="7">
    <fb>45078</fb>
    <v>14</v>
  </rv>
  <rv s="7">
    <fb>56.8</fb>
    <v>15</v>
  </rv>
  <rv s="7">
    <fb>120.4141</fb>
    <v>15</v>
  </rv>
  <rv s="7">
    <fb>76.62</fb>
    <v>15</v>
  </rv>
  <rv s="7">
    <fb>71.135000000000005</fb>
    <v>15</v>
  </rv>
  <rv s="7">
    <fb>32.86</fb>
    <v>15</v>
  </rv>
  <rv s="7">
    <fb>121.69</fb>
    <v>15</v>
  </rv>
  <rv s="7">
    <fb>77.680000000000007</fb>
    <v>15</v>
  </rv>
  <rv s="7">
    <fb>45108</fb>
    <v>14</v>
  </rv>
  <rv s="7">
    <fb>56.52</fb>
    <v>15</v>
  </rv>
  <rv s="7">
    <fb>121.87479999999999</fb>
    <v>15</v>
  </rv>
  <rv s="7">
    <fb>77.22</fb>
    <v>15</v>
  </rv>
  <rv s="7">
    <fb>74.474999999999994</fb>
    <v>15</v>
  </rv>
  <rv s="7">
    <fb>31.88</fb>
    <v>15</v>
  </rv>
  <rv s="7">
    <fb>127.02</fb>
    <v>15</v>
  </rv>
  <rv s="7">
    <fb>84.39</fb>
    <v>15</v>
  </rv>
  <rv s="7">
    <fb>45139</fb>
    <v>14</v>
  </rv>
  <rv s="7">
    <fb>49.46</fb>
    <v>15</v>
  </rv>
  <rv s="7">
    <fb>114.4372</fb>
    <v>15</v>
  </rv>
  <rv s="7">
    <fb>74.25</fb>
    <v>15</v>
  </rv>
  <rv s="7">
    <fb>69.52</fb>
    <v>15</v>
  </rv>
  <rv s="7">
    <fb>31.1</fb>
    <v>15</v>
  </rv>
  <rv s="7">
    <fb>119.02</fb>
    <v>15</v>
  </rv>
  <rv s="7">
    <fb>82.06</fb>
    <v>15</v>
  </rv>
  <rv s="7">
    <fb>45170</fb>
    <v>14</v>
  </rv>
  <rv s="7">
    <fb>41.51</fb>
    <v>15</v>
  </rv>
  <rv s="7">
    <fb>107.84520000000001</fb>
    <v>15</v>
  </rv>
  <rv s="7">
    <fb>66.78</fb>
    <v>15</v>
  </rv>
  <rv s="7">
    <fb>61.195</fb>
    <v>15</v>
  </rv>
  <rv s="7">
    <fb>107.47</fb>
    <v>15</v>
  </rv>
  <rv s="7">
    <fb>74.05</fb>
    <v>15</v>
  </rv>
  <rv s="7">
    <fb>45200</fb>
    <v>14</v>
  </rv>
  <rv s="7">
    <fb>38.700000000000003</fb>
    <v>15</v>
  </rv>
  <rv s="7">
    <fb>102.512</fb>
    <v>15</v>
  </rv>
  <rv s="7">
    <fb>61.5</fb>
    <v>15</v>
  </rv>
  <rv s="7">
    <fb>57.01</fb>
    <v>15</v>
  </rv>
  <rv s="7">
    <fb>25.06</fb>
    <v>15</v>
  </rv>
  <rv s="7">
    <fb>104.4</fb>
    <v>15</v>
  </rv>
  <rv s="7">
    <fb>73.59</fb>
    <v>15</v>
  </rv>
  <rv s="7">
    <fb>45231</fb>
    <v>14</v>
  </rv>
  <rv s="7">
    <fb>47.45</fb>
    <v>15</v>
  </rv>
  <rv s="7">
    <fb>122.9222</fb>
    <v>15</v>
  </rv>
  <rv s="7">
    <fb>72.14</fb>
    <v>15</v>
  </rv>
  <rv s="7">
    <fb>70.650000000000006</fb>
    <v>15</v>
  </rv>
  <rv s="7">
    <fb>29.18</fb>
    <v>15</v>
  </rv>
  <rv s="7">
    <fb>127.67</fb>
    <v>15</v>
  </rv>
  <rv s="7">
    <fb>88.42</fb>
    <v>15</v>
  </rv>
  <rv s="7">
    <fb>45261</fb>
    <v>14</v>
  </rv>
  <rv s="7">
    <fb>51.94</fb>
    <v>15</v>
  </rv>
  <rv s="7">
    <fb>143.21700000000001</fb>
    <v>15</v>
  </rv>
  <rv s="7">
    <fb>91.14</fb>
    <v>15</v>
  </rv>
  <rv s="7">
    <fb>87.1</fb>
    <v>15</v>
  </rv>
  <rv s="7">
    <fb>35.4</fb>
    <v>15</v>
  </rv>
  <rv s="7">
    <fb>151.97999999999999</fb>
    <v>15</v>
  </rv>
  <rv s="7">
    <fb>103.22</fb>
    <v>15</v>
  </rv>
  <rv s="7">
    <fb>45292</fb>
    <v>14</v>
  </rv>
  <rv s="7">
    <fb>52.17</fb>
    <v>15</v>
  </rv>
  <rv s="7">
    <fb>143.99539999999999</fb>
    <v>15</v>
  </rv>
  <rv s="7">
    <fb>86.7</fb>
    <v>15</v>
  </rv>
  <rv s="7">
    <fb>82.805000000000007</fb>
    <v>15</v>
  </rv>
  <rv s="7">
    <fb>34.53</fb>
    <v>15</v>
  </rv>
  <rv s="7">
    <fb>142.91</fb>
    <v>15</v>
  </rv>
  <rv s="7">
    <fb>104.56</fb>
    <v>15</v>
  </rv>
  <rv s="7">
    <fb>45323</fb>
    <v>14</v>
  </rv>
  <rv s="7">
    <fb>58.5</fb>
    <v>15</v>
  </rv>
  <rv s="7">
    <fb>152.31700000000001</fb>
    <v>15</v>
  </rv>
  <rv s="7">
    <fb>86.29</fb>
    <v>15</v>
  </rv>
  <rv s="7">
    <fb>78.83</fb>
    <v>15</v>
  </rv>
  <rv s="7">
    <fb>35.380000000000003</fb>
    <v>15</v>
  </rv>
  <rv s="7">
    <fb>149.44</fb>
    <v>15</v>
  </rv>
  <rv s="7">
    <fb>108.38</fb>
    <v>15</v>
  </rv>
  <rv s="7">
    <fb>45352</fb>
    <v>14</v>
  </rv>
  <rv s="7">
    <fb>60.23</fb>
    <v>15</v>
  </rv>
  <rv s="7">
    <fb>165.26070000000001</fb>
    <v>15</v>
  </rv>
  <rv s="7">
    <fb>96.5</fb>
    <v>15</v>
  </rv>
  <rv s="7">
    <fb>87.73</fb>
    <v>15</v>
  </rv>
  <rv s="7">
    <fb>38.659999999999997</fb>
    <v>15</v>
  </rv>
  <rv s="7">
    <fb>164.55</fb>
    <v>15</v>
  </rv>
  <rv s="7">
    <fb>120.62</fb>
    <v>15</v>
  </rv>
  <rv s="7">
    <fb>45383</fb>
    <v>14</v>
  </rv>
  <rv s="7">
    <fb>54.13</fb>
    <v>15</v>
  </rv>
  <rv s="7">
    <fb>145.6962</fb>
    <v>15</v>
  </rv>
  <rv s="7">
    <fb>79.319999999999993</fb>
    <v>15</v>
  </rv>
  <rv s="7">
    <fb>82.87</fb>
    <v>15</v>
  </rv>
  <rv s="7">
    <fb>36.85</fb>
    <v>15</v>
  </rv>
  <rv s="7">
    <fb>142.49</fb>
    <v>15</v>
  </rv>
  <rv s="7">
    <fb>111.42</fb>
    <v>15</v>
  </rv>
  <rv s="7">
    <fb>45413</fb>
    <v>14</v>
  </rv>
  <rv s="7">
    <fb>54.6</fb>
    <v>15</v>
  </rv>
  <rv s="7">
    <fb>154.08510000000001</fb>
    <v>15</v>
  </rv>
  <rv s="7">
    <fb>84.41</fb>
    <v>15</v>
  </rv>
  <rv s="7">
    <fb>88.174999999999997</fb>
    <v>15</v>
  </rv>
  <rv s="7">
    <fb>38.729999999999997</fb>
    <v>15</v>
  </rv>
  <rv s="7">
    <fb>147.80000000000001</fb>
    <v>15</v>
  </rv>
  <rv s="7">
    <fb>117.32</fb>
    <v>15</v>
  </rv>
  <rv s="7">
    <fb>45444</fb>
    <v>14</v>
  </rv>
  <rv s="7">
    <fb>57.24</fb>
    <v>15</v>
  </rv>
  <rv s="7">
    <fb>144.0146</fb>
    <v>15</v>
  </rv>
  <rv s="7">
    <fb>81.66</fb>
    <v>15</v>
  </rv>
  <rv s="7">
    <fb>80.924999999999997</fb>
    <v>15</v>
  </rv>
  <rv s="7">
    <fb>37.25</fb>
    <v>15</v>
  </rv>
  <rv s="7">
    <fb>140.93</fb>
    <v>15</v>
  </rv>
  <rv s="7">
    <fb>110.1</fb>
    <v>15</v>
  </rv>
  <rv s="7">
    <fb>45474</fb>
    <v>14</v>
  </rv>
  <rv s="7">
    <fb>73.150000000000006</fb>
    <v>15</v>
  </rv>
  <rv s="7">
    <fb>170.01730000000001</fb>
    <v>15</v>
  </rv>
  <rv s="7">
    <fb>104.71</fb>
    <v>15</v>
  </rv>
  <rv s="7">
    <fb>101.435</fb>
    <v>15</v>
  </rv>
  <rv s="7">
    <fb>45.25</fb>
    <v>15</v>
  </rv>
  <rv s="7">
    <fb>179.93</fb>
    <v>15</v>
  </rv>
  <rv s="7">
    <fb>132</fb>
    <v>15</v>
  </rv>
  <rv s="7">
    <fb>45505</fb>
    <v>14</v>
  </rv>
  <rv s="7">
    <fb>78.78</fb>
    <v>15</v>
  </rv>
  <rv s="7">
    <fb>174.9469</fb>
    <v>15</v>
  </rv>
  <rv s="7">
    <fb>100.07</fb>
    <v>15</v>
  </rv>
  <rv s="7">
    <fb>99.034999999999997</fb>
    <v>15</v>
  </rv>
  <rv s="7">
    <fb>44.44</fb>
    <v>15</v>
  </rv>
  <rv s="7">
    <fb>188.76</fb>
    <v>15</v>
  </rv>
  <rv s="7">
    <fb>131.65</fb>
    <v>15</v>
  </rv>
  <rv s="7">
    <fb>45536</fb>
    <v>14</v>
  </rv>
  <rv s="7">
    <fb>83.52</fb>
    <v>15</v>
  </rv>
  <rv s="7">
    <fb>180.15520000000001</fb>
    <v>15</v>
  </rv>
  <rv s="7">
    <fb>102.98</fb>
    <v>15</v>
  </rv>
  <rv s="7">
    <fb>102.535</fb>
    <v>15</v>
  </rv>
  <rv s="7">
    <fb>45.31</fb>
    <v>15</v>
  </rv>
  <rv s="7">
    <fb>190.77</fb>
    <v>15</v>
  </rv>
  <rv s="7">
    <fb>143.53</fb>
    <v>15</v>
  </rv>
  <rv s="7">
    <fb>45566</fb>
    <v>14</v>
  </rv>
  <rv s="7">
    <fb>69.010000000000005</fb>
    <v>15</v>
  </rv>
  <rv s="7">
    <fb>163.6464</fb>
    <v>15</v>
  </rv>
  <rv s="7">
    <fb>88.66</fb>
    <v>15</v>
  </rv>
  <rv s="7">
    <fb>90.6</fb>
    <v>15</v>
  </rv>
  <rv s="7">
    <fb>40.43</fb>
    <v>15</v>
  </rv>
  <rv s="7">
    <fb>169</fb>
    <v>15</v>
  </rv>
  <rv s="7">
    <fb>129.53</fb>
    <v>15</v>
  </rv>
  <rv s="7">
    <fb>45597</fb>
    <v>14</v>
  </rv>
  <rv s="7">
    <fb>71.459999999999994</fb>
    <v>15</v>
  </rv>
  <rv s="7">
    <fb>167.57660000000001</fb>
    <v>15</v>
  </rv>
  <rv s="7">
    <fb>90.36</fb>
    <v>15</v>
  </rv>
  <rv s="7">
    <fb>95.534999999999997</fb>
    <v>15</v>
  </rv>
  <rv s="7">
    <fb>43.53</fb>
    <v>15</v>
  </rv>
  <rv s="7">
    <fb>168.78</fb>
    <v>15</v>
  </rv>
  <rv s="7">
    <fb>135.27000000000001</fb>
    <v>15</v>
  </rv>
  <rv s="7">
    <fb>45627</fb>
    <v>14</v>
  </rv>
  <rv s="7">
    <fb>56.49</fb>
    <v>15</v>
  </rv>
  <rv s="7">
    <fb>131.042</fb>
    <v>15</v>
  </rv>
  <rv s="7">
    <fb>73.36</fb>
    <v>15</v>
  </rv>
  <rv s="7">
    <fb>76.91</fb>
    <v>15</v>
  </rv>
  <rv s="7">
    <fb>36.26</fb>
    <v>15</v>
  </rv>
  <rv s="7">
    <fb>139.82</fb>
    <v>15</v>
  </rv>
  <rv s="7">
    <fb>108.9</fb>
    <v>15</v>
  </rv>
  <rv s="7">
    <fb>45658</fb>
    <v>14</v>
  </rv>
  <rv s="7">
    <fb>60.47</fb>
    <v>15</v>
  </rv>
  <rv s="7">
    <fb>131.24</fb>
    <v>15</v>
  </rv>
  <rv s="7">
    <fb>76.38</fb>
    <v>15</v>
  </rv>
  <rv s="7">
    <fb>77.87</fb>
    <v>15</v>
  </rv>
  <rv s="7">
    <fb>36.86</fb>
    <v>15</v>
  </rv>
  <rv s="7">
    <fb>141.9</fb>
    <v>15</v>
  </rv>
  <rv s="7">
    <fb>113.78</fb>
    <v>15</v>
  </rv>
  <rv s="7">
    <fb>45689</fb>
    <v>14</v>
  </rv>
  <rv s="7">
    <fb>59.73</fb>
    <v>15</v>
  </rv>
  <rv s="7">
    <fb>119.63</fb>
    <v>15</v>
  </rv>
  <rv s="7">
    <fb>69.430000000000007</fb>
    <v>15</v>
  </rv>
  <rv s="7">
    <fb>72.47</fb>
    <v>15</v>
  </rv>
  <rv s="7">
    <fb>31.66</fb>
    <v>15</v>
  </rv>
  <rv s="7">
    <fb>126.81</fb>
    <v>15</v>
  </rv>
  <rv s="7">
    <fb>103.28</fb>
    <v>15</v>
  </rv>
  <rv s="7">
    <fb>45717</fb>
    <v>14</v>
  </rv>
  <rv s="7">
    <fb>58.31</fb>
    <v>15</v>
  </rv>
  <rv s="7">
    <fb>114.78</fb>
    <v>15</v>
  </rv>
  <rv s="7">
    <fb>67.099999999999994</fb>
    <v>15</v>
  </rv>
  <rv s="7">
    <fb>70.88</fb>
    <v>15</v>
  </rv>
  <rv s="7">
    <fb>31.92</fb>
    <v>15</v>
  </rv>
  <rv s="7">
    <fb>127.13</fb>
    <v>15</v>
  </rv>
  <rv s="7">
    <fb>102.8</fb>
    <v>15</v>
  </rv>
  <rv s="7">
    <fb>45748</fb>
    <v>14</v>
  </rv>
  <rv s="7">
    <fb>58.99</fb>
    <v>15</v>
  </rv>
  <rv s="7">
    <fb>108.61</fb>
    <v>15</v>
  </rv>
  <rv s="7">
    <fb>54.54</fb>
    <v>15</v>
  </rv>
  <rv s="7">
    <fb>68.14</fb>
    <v>15</v>
  </rv>
  <rv s="7">
    <fb>30.75</fb>
    <v>15</v>
  </rv>
  <rv s="7">
    <fb>126.34</fb>
    <v>15</v>
  </rv>
  <rv s="7">
    <fb>102.58</fb>
    <v>15</v>
  </rv>
  <rv s="7">
    <fb>45778</fb>
    <v>14</v>
  </rv>
  <rv s="7">
    <fb>58.45</fb>
    <v>15</v>
  </rv>
  <rv s="7">
    <fb>106.08</fb>
    <v>15</v>
  </rv>
  <rv s="7">
    <fb>51.87</fb>
    <v>15</v>
  </rv>
  <rv s="7">
    <fb>63.61</fb>
    <v>15</v>
  </rv>
  <rv s="7">
    <fb>29.48</fb>
    <v>15</v>
  </rv>
  <rv s="7">
    <fb>118.06</fb>
    <v>15</v>
  </rv>
  <rv s="7">
    <fb>98.03</fb>
    <v>15</v>
  </rv>
  <rv s="7">
    <fb>45809</fb>
    <v>14</v>
  </rv>
  <rv s="7">
    <fb>62.88</fb>
    <v>15</v>
  </rv>
  <rv s="7">
    <fb>110.61</fb>
    <v>15</v>
  </rv>
  <rv s="7">
    <fb>56.32</fb>
    <v>15</v>
  </rv>
  <rv s="7">
    <fb>66.97</fb>
    <v>15</v>
  </rv>
  <rv s="7">
    <fb>31.95</fb>
    <v>15</v>
  </rv>
  <rv s="7">
    <fb>128.91999999999999</fb>
    <v>15</v>
  </rv>
  <rv s="7">
    <fb>105.46</fb>
    <v>15</v>
  </rv>
  <rv s="7">
    <fb>45839</fb>
    <v>14</v>
  </rv>
  <rv s="7">
    <fb>61.94</fb>
    <v>15</v>
  </rv>
  <rv s="7">
    <fb>112.18</fb>
    <v>15</v>
  </rv>
  <rv s="7">
    <fb>56.29</fb>
    <v>15</v>
  </rv>
  <rv s="7">
    <fb>30.8</fb>
    <v>15</v>
  </rv>
  <rv s="7">
    <fb>142.84</fb>
    <v>15</v>
  </rv>
  <rv s="7">
    <fb>112.92</fb>
    <v>15</v>
  </rv>
  <rv s="7">
    <fb>45870</fb>
    <v>14</v>
  </rv>
  <rv s="7">
    <fb>69.84</fb>
    <v>15</v>
  </rv>
  <rv s="7">
    <fb>133.13999999999999</fb>
    <v>15</v>
  </rv>
  <rv s="7">
    <fb>65.88</fb>
    <v>15</v>
  </rv>
  <rv s="7">
    <fb>77.69</fb>
    <v>15</v>
  </rv>
  <rv s="7">
    <fb>35.33</fb>
    <v>15</v>
  </rv>
  <rv s="7">
    <fb>169.48</fb>
    <v>15</v>
  </rv>
  <rv s="7">
    <fb>132.02000000000001</fb>
    <v>15</v>
  </rv>
  <rv s="7">
    <fb>45901</fb>
    <v>14</v>
  </rv>
  <rv s="7">
    <fb>73.86</fb>
    <v>15</v>
  </rv>
  <rv s="7">
    <fb>126.04</fb>
    <v>15</v>
  </rv>
  <rv s="7">
    <fb>63.37</fb>
    <v>15</v>
  </rv>
  <rv s="7">
    <fb>72.430000000000007</fb>
    <v>15</v>
  </rv>
  <rv s="7">
    <fb>169.47</fb>
    <v>15</v>
  </rv>
  <rv s="7">
    <fb>132.13</fb>
    <v>15</v>
  </rv>
  <rv s="7">
    <fb>45931</fb>
    <v>14</v>
  </rv>
  <rv s="7">
    <fb>64.739999999999995</fb>
    <v>15</v>
  </rv>
  <rv s="7">
    <fb>123.77</fb>
    <v>15</v>
  </rv>
  <rv s="7">
    <fb>59.4</fb>
    <v>15</v>
  </rv>
  <rv s="7">
    <fb>67.56</fb>
    <v>15</v>
  </rv>
  <rv s="7">
    <fb>31.85</fb>
    <v>15</v>
  </rv>
  <rv s="7">
    <fb>149.08000000000001</fb>
    <v>15</v>
  </rv>
  <rv s="7">
    <fb>119.87</fb>
    <v>15</v>
  </rv>
  <rv s="7">
    <fb>45962</fb>
    <v>14</v>
  </rv>
  <rv s="7">
    <fb>67.88</fb>
    <v>15</v>
  </rv>
  <rv s="7">
    <fb>131.30000000000001</fb>
    <v>15</v>
  </rv>
  <rv s="7">
    <fb>65.290000000000006</fb>
    <v>15</v>
  </rv>
  <rv s="7">
    <fb>73.08</fb>
    <v>15</v>
  </rv>
  <rv s="7">
    <fb>34.119999999999997</fb>
    <v>15</v>
  </rv>
  <rv s="7">
    <fb>159.01</fb>
    <v>15</v>
  </rv>
  <rv s="7">
    <fb>127.19</fb>
    <v>15</v>
  </rv>
  <rv s="7">
    <fb>45992</fb>
    <v>14</v>
  </rv>
  <rv s="7">
    <fb>62.66</fb>
    <v>15</v>
  </rv>
  <rv s="7">
    <fb>59.35</fb>
    <v>15</v>
  </rv>
  <rv s="7">
    <fb>65.8</fb>
    <v>15</v>
  </rv>
  <rv s="7">
    <fb>31.47</fb>
    <v>15</v>
  </rv>
  <rv s="7">
    <fb>144.03</fb>
    <v>15</v>
  </rv>
  <rv s="7">
    <fb>117.26</fb>
    <v>15</v>
  </rv>
  <rv s="7">
    <fb>46023</fb>
    <v>14</v>
  </rv>
  <rv s="7">
    <fb>69.39</fb>
    <v>15</v>
  </rv>
  <rv s="7">
    <fb>109.35</fb>
    <v>15</v>
  </rv>
  <rv s="7">
    <fb>62.98</fb>
    <v>15</v>
  </rv>
  <rv s="7">
    <fb>69.510000000000005</fb>
    <v>15</v>
  </rv>
  <rv s="7">
    <fb>33.35</fb>
    <v>15</v>
  </rv>
  <rv s="7">
    <fb>148.84</fb>
    <v>15</v>
  </rv>
  <rv s="7">
    <fb>125.09</fb>
    <v>15</v>
  </rv>
  <rv s="7">
    <fb>46054</fb>
    <v>14</v>
  </rv>
  <rv s="7">
    <fb>73.66</fb>
    <v>15</v>
  </rv>
  <rv s="7">
    <fb>114.36</fb>
    <v>15</v>
  </rv>
  <rv s="7">
    <fb>67.23</fb>
    <v>15</v>
  </rv>
  <rv s="7">
    <fb>75.42</fb>
    <v>15</v>
  </rv>
  <rv s="7">
    <fb>46.3</fb>
    <v>15</v>
  </rv>
  <rv s="7">
    <fb>160.38999999999999</fb>
    <v>15</v>
  </rv>
  <rv s="7">
    <fb>137.19999999999999</fb>
    <v>15</v>
  </rv>
  <rv s="7">
    <fb>46082</fb>
    <v>14</v>
  </rv>
  <rv s="7">
    <fb>64.45</fb>
    <v>15</v>
  </rv>
  <rv s="7">
    <fb>86.84</fb>
    <v>15</v>
  </rv>
  <rv s="7">
    <fb>57.38</fb>
    <v>15</v>
  </rv>
  <rv s="7">
    <fb>61.84</fb>
    <v>15</v>
  </rv>
  <rv s="7">
    <fb>46.73</fb>
    <v>15</v>
  </rv>
  <rv s="7">
    <fb>137.22</fb>
    <v>15</v>
  </rv>
  <rv s="7">
    <fb>117.61</fb>
    <v>15</v>
  </rv>
  <rv s="7">
    <fb>46113</fb>
    <v>14</v>
  </rv>
  <rv s="7">
    <fb>67.44</fb>
    <v>15</v>
  </rv>
  <rv s="7">
    <fb>90.3</fb>
    <v>15</v>
  </rv>
  <rv s="7">
    <fb>56.02</fb>
    <v>15</v>
  </rv>
  <rv s="7">
    <fb>46.89</fb>
    <v>15</v>
  </rv>
  <rv s="7">
    <fb>153.86000000000001</fb>
    <v>15</v>
  </rv>
  <rv s="7">
    <fb>122.36</fb>
    <v>15</v>
  </rv>
  <rv s="7">
    <fb>46143</fb>
    <v>14</v>
  </rv>
  <rv s="7">
    <fb>67.260000000000005</fb>
    <v>15</v>
  </rv>
  <rv s="7">
    <fb>89.78</fb>
    <v>15</v>
  </rv>
  <rv s="7">
    <fb>52.82</fb>
    <v>15</v>
  </rv>
  <rv s="7">
    <fb>65.239999999999995</fb>
    <v>15</v>
  </rv>
  <rv s="7">
    <fb>46.95</fb>
    <v>15</v>
  </rv>
  <rv s="7">
    <fb>147.09</fb>
    <v>15</v>
  </rv>
  <rv s="7">
    <fb>118.18</fb>
    <v>15</v>
  </rv>
  <rv s="7">
    <fb>46174</fb>
    <v>14</v>
  </rv>
  <rv s="7">
    <fb>80.040000000000006</fb>
    <v>15</v>
  </rv>
  <rv s="7">
    <fb>90.49</fb>
    <v>15</v>
  </rv>
  <rv s="7">
    <fb>71.66</fb>
    <v>15</v>
  </rv>
  <rv s="7">
    <fb>83.85</fb>
    <v>15</v>
  </rv>
  <rv s="7">
    <fb>162.88</fb>
    <v>15</v>
  </rv>
  <rv s="7">
    <fb>137.21</fb>
    <v>15</v>
  </rv>
  <rv s="7">
    <fb>46204</fb>
    <v>14</v>
  </rv>
  <rv s="7">
    <fb>70.73</fb>
    <v>15</v>
  </rv>
  <rv s="7">
    <fb>82.35</fb>
    <v>15</v>
  </rv>
  <rv s="7">
    <fb>67.16</fb>
    <v>15</v>
  </rv>
  <rv s="7">
    <fb>70.2</fb>
    <v>15</v>
  </rv>
  <rv s="7">
    <fb>143.06</fb>
    <v>15</v>
  </rv>
  <rv s="7">
    <fb>126.47</fb>
    <v>15</v>
  </rv>
  <rv s="7">
    <fb>46235</fb>
    <v>14</v>
  </rv>
  <rv s="7">
    <fb>72.77</fb>
    <v>15</v>
  </rv>
  <rv s="7">
    <fb>88.16</fb>
    <v>15</v>
  </rv>
  <rv s="7">
    <fb>69.41</fb>
    <v>15</v>
  </rv>
  <rv s="7">
    <fb>72.52</fb>
    <v>15</v>
  </rv>
  <rv s="7">
    <fb>148.97</fb>
    <v>15</v>
  </rv>
  <rv s="7">
    <fb>129.61000000000001</fb>
    <v>15</v>
  </rv>
  <rv s="8">
    <v>16</v>
    <v>a1u62w</v>
    <v>Monthly</v>
    <v>43252</v>
    <v>46265</v>
    <v>0</v>
    <v>1</v>
    <v>639231264000000000,639232853262326460,0</v>
    <v>0</v>
    <v>a1u62w</v>
    <v>XNYS:GRBK</v>
    <v>1</v>
  </rv>
  <rv s="8">
    <v>16</v>
    <v>a1pdmw</v>
    <v>Monthly</v>
    <v>43252</v>
    <v>46265</v>
    <v>0</v>
    <v>1</v>
    <v>639231264000000000,639232853262082031,0</v>
    <v>0</v>
    <v>a1pdmw</v>
    <v>XNYS:CCS</v>
    <v>2</v>
  </rv>
  <rv s="8">
    <v>16</v>
    <v>a1wucw</v>
    <v>Monthly</v>
    <v>43252</v>
    <v>46265</v>
    <v>0</v>
    <v>1</v>
    <v>639231264000000000,639232853260736158,0</v>
    <v>0</v>
    <v>a1wucw</v>
    <v>XNYS:LEN</v>
    <v>3</v>
  </rv>
  <rv s="8">
    <v>16</v>
    <v>a1r1lh</v>
    <v>Monthly</v>
    <v>43252</v>
    <v>46265</v>
    <v>0</v>
    <v>1</v>
    <v>639231264000000000,639232853260486351,0</v>
    <v>0</v>
    <v>a1r1lh</v>
    <v>XNYS:DHI</v>
    <v>4</v>
  </rv>
  <rv s="8">
    <v>16</v>
    <v>a1y327</v>
    <v>Monthly</v>
    <v>43252</v>
    <v>46265</v>
    <v>0</v>
    <v>1</v>
    <v>639231264000000000,639232853261217430,0</v>
    <v>0</v>
    <v>a1y327</v>
    <v>XNYS:MTH</v>
    <v>5</v>
  </rv>
  <rv s="8">
    <v>16</v>
    <v>a24f5r</v>
    <v>Monthly</v>
    <v>43252</v>
    <v>46265</v>
    <v>0</v>
    <v>1</v>
    <v>639142272000000000,639232853260968388,0</v>
    <v>6</v>
    <v>a24f5r</v>
    <v>XNYS:TPH</v>
    <v>7</v>
  </rv>
  <rv s="8">
    <v>16</v>
    <v>a1zutc</v>
    <v>Monthly</v>
    <v>43252</v>
    <v>46265</v>
    <v>0</v>
    <v>1</v>
    <v>639231264000000000,639232853261836181,0</v>
    <v>0</v>
    <v>a1zutc</v>
    <v>XNYS:PHM</v>
    <v>8</v>
  </rv>
</rvData>
</file>

<file path=xl/richData/rdrichvaluestructure.xml><?xml version="1.0" encoding="utf-8"?>
<rvStructures xmlns="http://schemas.microsoft.com/office/spreadsheetml/2017/richdata" count="9">
  <s t="_hyperlink">
    <k n="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Extended hours)"/>
    <k n="Change (%)"/>
    <k n="Change (Extended hours)"/>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Price (Extended hours)"/>
    <k n="Shares outstanding"/>
    <k n="Ticker symbol" t="s"/>
    <k n="UniqueName" t="s"/>
    <k n="Volume"/>
    <k n="Volume average"/>
    <k n="Year incorporated"/>
  </s>
  <s t="_linkedentity">
    <k n="%cvi" t="r"/>
  </s>
  <s t="_sourceattribution">
    <k n="License" t="r"/>
    <k n="Source" t="r"/>
  </s>
  <s t="_imageurl">
    <k n="_Provider" t="spb"/>
    <k n="Address" t="s"/>
    <k n="Attribution" t="r"/>
    <k n="ComputedImage" t="b"/>
    <k n="More Images 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Extended hours)"/>
    <k n="Change (%)"/>
    <k n="Change (Extended hours)"/>
    <k n="Currency" t="s"/>
    <k n="Description" t="s"/>
    <k n="Employees"/>
    <k n="Exchange" t="s"/>
    <k n="Exchange abbreviation" t="s"/>
    <k n="ExchangeID" t="s"/>
    <k n="Headquarters" t="s"/>
    <k n="High"/>
    <k n="Image" t="r"/>
    <k n="Industry" t="s"/>
    <k n="Instrument type" t="s"/>
    <k n="Last trade time"/>
    <k n="LearnMoreOnLink" t="r"/>
    <k n="Low"/>
    <k n="Market cap"/>
    <k n="Name" t="s"/>
    <k n="Official name" t="s"/>
    <k n="Open"/>
    <k n="P/E"/>
    <k n="Previous close"/>
    <k n="Price"/>
    <k n="Price (Extended hours)"/>
    <k n="Shares outstanding"/>
    <k n="Ticker symbol" t="s"/>
    <k n="UniqueName" t="s"/>
    <k n="Volume"/>
    <k n="Volume average"/>
    <k n="Year incorporated"/>
  </s>
  <s t="_linkedentitycore">
    <k n="%EntityCulture" t="s"/>
    <k n="%EntityId" t="s"/>
    <k n="%EntityServiceId"/>
    <k n="%IsRefreshable" t="b"/>
    <k n="%OutdatedReason" t="i"/>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formattednumber">
    <k n="_Format" t="spb"/>
  </s>
  <s t="_stockhistorycache">
    <k n="_Format" t="spb"/>
    <k n="Symbol" t="s"/>
    <k n="Interval" t="s"/>
    <k n="StartDate" t="i"/>
    <k n="EndDate" t="i"/>
    <k n="f1904" t="b"/>
    <k n="fdcompat" t="b"/>
    <k n="etag" t="s"/>
    <k n="Date" t="a"/>
    <k n="EntityId" t="s"/>
    <k n="Instrument" t="s"/>
    <k n="Close" t="a"/>
  </s>
</rvStructures>
</file>

<file path=xl/richData/rdsupportingpropertybag.xml><?xml version="1.0" encoding="utf-8"?>
<supportingPropertyBags xmlns="http://schemas.microsoft.com/office/spreadsheetml/2017/richdata2">
  <spbArrays count="3">
    <a count="45">
      <v t="s">%EntityServiceId</v>
      <v t="s">_Format</v>
      <v t="s">%IsRefreshable</v>
      <v t="s">%EntityCulture</v>
      <v t="s">%EntityId</v>
      <v t="s">_Icon</v>
      <v t="s">_Display</v>
      <v t="s">Name</v>
      <v t="s">_SubLabel</v>
      <v t="s">Price</v>
      <v t="s">Price (Extended hours)</v>
      <v t="s">Exchange</v>
      <v t="s">Official name</v>
      <v t="s">Last trade time</v>
      <v t="s">Ticker symbol</v>
      <v t="s">Exchange abbreviation</v>
      <v t="s">Change</v>
      <v t="s">Change (Extended hours)</v>
      <v t="s">Change (%)</v>
      <v t="s">Change % (Extended hours)</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a count="46">
      <v t="s">%EntityServiceId</v>
      <v t="s">_Format</v>
      <v t="s">%IsRefreshable</v>
      <v t="s">%EntityCulture</v>
      <v t="s">%EntityId</v>
      <v t="s">_Icon</v>
      <v t="s">_Display</v>
      <v t="s">Name</v>
      <v t="s">_SubLabel</v>
      <v t="s">Price</v>
      <v t="s">Price (Extended hours)</v>
      <v t="s">Exchange</v>
      <v t="s">Official name</v>
      <v t="s">Last trade time</v>
      <v t="s">Ticker symbol</v>
      <v t="s">Exchange abbreviation</v>
      <v t="s">Change</v>
      <v t="s">Change (Extended hours)</v>
      <v t="s">Change (%)</v>
      <v t="s">Change % (Extended hours)</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Image</v>
      <v t="s">ExchangeID</v>
      <v t="s">%ProviderInfo</v>
    </a>
    <a count="43">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v t="s">%OutdatedReason</v>
    </a>
  </spbArrays>
  <spbData count="17">
    <spb s="0">
      <v>0</v>
      <v>Name</v>
      <v>LearnMoreOnLink</v>
    </spb>
    <spb s="1">
      <v>0</v>
      <v>0</v>
      <v>0</v>
    </spb>
    <spb s="2">
      <v>1</v>
      <v>1</v>
      <v>1</v>
      <v>1</v>
    </spb>
    <spb s="3">
      <v>1</v>
      <v>2</v>
      <v>2</v>
      <v>1</v>
      <v>3</v>
      <v>1</v>
      <v>1</v>
      <v>1</v>
      <v>4</v>
      <v>4</v>
      <v>5</v>
      <v>6</v>
      <v>1</v>
      <v>1</v>
      <v>1</v>
      <v>4</v>
      <v>7</v>
      <v>8</v>
      <v>9</v>
      <v>4</v>
      <v>1</v>
      <v>1</v>
      <v>5</v>
    </spb>
    <spb s="4">
      <v>at close</v>
      <v>from previous close</v>
      <v>from previous close</v>
      <v>Source: Nasdaq</v>
      <v>GMT</v>
      <v>Delayed 15 minutes</v>
      <v>from close</v>
      <v>from close</v>
    </spb>
    <spb s="0">
      <v>1</v>
      <v>Name</v>
      <v>LearnMoreOnLink</v>
    </spb>
    <spb s="5">
      <v>0</v>
      <v>0</v>
    </spb>
    <spb s="6">
      <v>6</v>
      <v>1</v>
      <v>1</v>
      <v>1</v>
      <v>1</v>
    </spb>
    <spb s="7">
      <v>1</v>
      <v>2</v>
      <v>2</v>
      <v>1</v>
      <v>3</v>
      <v>1</v>
      <v>10</v>
      <v>1</v>
      <v>1</v>
      <v>4</v>
      <v>4</v>
      <v>5</v>
      <v>6</v>
      <v>1</v>
      <v>1</v>
      <v>1</v>
      <v>4</v>
      <v>7</v>
      <v>8</v>
      <v>9</v>
      <v>4</v>
      <v>1</v>
      <v>1</v>
      <v>5</v>
    </spb>
    <spb s="4">
      <v>at close</v>
      <v>from previous close</v>
      <v>from previous close</v>
      <v>Source: Nasdaq Last Sale</v>
      <v>GMT</v>
      <v>Real-Time Nasdaq Last Sale</v>
      <v>from close</v>
      <v>from close</v>
    </spb>
    <spb s="8">
      <v>Powered by Refinitiv</v>
    </spb>
    <spb s="0">
      <v>2</v>
      <v>Name</v>
      <v>LearnMoreOnLink</v>
    </spb>
    <spb s="9">
      <v>1</v>
      <v>2</v>
      <v>2</v>
      <v>1</v>
      <v>3</v>
      <v>1</v>
      <v>1</v>
      <v>1</v>
      <v>4</v>
      <v>4</v>
      <v>5</v>
      <v>6</v>
      <v>1</v>
      <v>1</v>
      <v>1</v>
      <v>4</v>
      <v>7</v>
      <v>8</v>
      <v>9</v>
      <v>4</v>
    </spb>
    <spb s="10">
      <v>Real-Time Nasdaq Last Sale</v>
      <v>from previous close</v>
      <v>from previous close</v>
      <v>Source: Nasdaq Last Sale</v>
      <v>GMT</v>
    </spb>
    <spb s="11">
      <v>11</v>
    </spb>
    <spb s="11">
      <v>1</v>
    </spb>
    <spb s="12">
      <v>11</v>
      <v>1</v>
    </spb>
  </spbData>
</supportingPropertyBags>
</file>

<file path=xl/richData/rdsupportingpropertybagstructure.xml><?xml version="1.0" encoding="utf-8"?>
<spbStructures xmlns="http://schemas.microsoft.com/office/spreadsheetml/2017/richdata2" count="13">
  <s>
    <k n="^Order" t="spba"/>
    <k n="TitleProperty" t="s"/>
    <k n="SubTitleProperty" t="s"/>
  </s>
  <s>
    <k n="ShowInCardView" t="b"/>
    <k n="ShowInDotNotation" t="b"/>
    <k n="ShowInAutoComplete" t="b"/>
  </s>
  <s>
    <k n="ExchangeID" t="spb"/>
    <k n="UniqueName" t="spb"/>
    <k n="`%ProviderInfo" t="spb"/>
    <k n="LearnMoreOnLink" t="spb"/>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k n="Price (Extended hours)" t="i"/>
    <k n="Change (Extended hours)" t="i"/>
    <k n="Change % (Extended hours)" t="i"/>
  </s>
  <s>
    <k n="Price" t="s"/>
    <k n="Change" t="s"/>
    <k n="Change (%)" t="s"/>
    <k n="ExchangeID" t="s"/>
    <k n="Last trade time" t="s"/>
    <k n="Price (Extended hours)" t="s"/>
    <k n="Change (Extended hours)" t="s"/>
    <k n="Change % (Extended hours)" t="s"/>
  </s>
  <s>
    <k n="ShowInDotNotation" t="b"/>
    <k n="ShowInAutoComplete" t="b"/>
  </s>
  <s>
    <k n="Image" t="spb"/>
    <k n="ExchangeID" t="spb"/>
    <k n="UniqueName" t="spb"/>
    <k n="`%ProviderInfo" t="spb"/>
    <k n="LearnMoreOnLink" t="spb"/>
  </s>
  <s>
    <k n="Low" t="i"/>
    <k n="P/E" t="i"/>
    <k n="Beta" t="i"/>
    <k n="High" t="i"/>
    <k n="Name" t="i"/>
    <k n="Open" t="i"/>
    <k n="Image" t="i"/>
    <k n="Price" t="i"/>
    <k n="Change" t="i"/>
    <k n="Volume" t="i"/>
    <k n="Employees" t="i"/>
    <k n="Change (%)" t="i"/>
    <k n="Market cap" t="i"/>
    <k n="52 week low" t="i"/>
    <k n="52 week high" t="i"/>
    <k n="Previous close" t="i"/>
    <k n="Volume average" t="i"/>
    <k n="Last trade time" t="i"/>
    <k n="Year incorporated" t="i"/>
    <k n="`%EntityServiceId" t="i"/>
    <k n="Shares outstanding" t="i"/>
    <k n="Price (Extended hours)" t="i"/>
    <k n="Change (Extended hours)" t="i"/>
    <k n="Change % (Extended hours)" t="i"/>
  </s>
  <s>
    <k n="name" t="s"/>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s>
  <s>
    <k n="Price" t="s"/>
    <k n="Change" t="s"/>
    <k n="Change (%)" t="s"/>
    <k n="ExchangeID" t="s"/>
    <k n="Last trade time" t="s"/>
  </s>
  <s>
    <k n="_Self" t="i"/>
  </s>
  <s>
    <k n="Date" t="i"/>
    <k n="Close"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8">
    <x:dxf>
      <x:numFmt numFmtId="0" formatCode="General"/>
    </x:dxf>
    <x:dxf>
      <x:numFmt numFmtId="14" formatCode="0.00%"/>
    </x:dxf>
    <x:dxf>
      <x:numFmt numFmtId="2" formatCode="0.00"/>
    </x:dxf>
    <x:dxf>
      <x:numFmt numFmtId="4" formatCode="#,##0.00"/>
    </x:dxf>
    <x:dxf>
      <x:numFmt numFmtId="3" formatCode="#,##0"/>
    </x:dxf>
    <x:dxf>
      <x:numFmt numFmtId="1" formatCode="0"/>
    </x:dxf>
    <x:dxf>
      <x:numFmt numFmtId="27" formatCode="m/d/yyyy\ h:mm"/>
    </x:dxf>
    <x:dxf>
      <x:numFmt numFmtId="19" formatCode="m/d/yyyy"/>
    </x:dxf>
  </dxfs>
  <richProperties>
    <rPr n="NumberFormat" t="s"/>
    <rPr n="IsTitleField" t="b"/>
    <rPr n="IsHeroField" t="b"/>
  </richProperties>
  <richStyles>
    <rSty dxfid="0">
      <rpv i="0">_([$$-en-US]* #,##0.00_);_([$$-en-US]* (#,##0.00);_([$$-en-US]* "-"??_);_(@_)</rpv>
    </rSty>
    <rSty dxfid="3">
      <rpv i="0">#,##0.00</rpv>
    </rSty>
    <rSty>
      <rpv i="1">1</rpv>
    </rSty>
    <rSty dxfid="4">
      <rpv i="0">#,##0</rpv>
    </rSty>
    <rSty dxfid="1"/>
    <rSty dxfid="0">
      <rpv i="0">_([$$-en-US]* #,##0_);_([$$-en-US]* (#,##0);_([$$-en-US]* "-"_);_(@_)</rpv>
    </rSty>
    <rSty dxfid="6"/>
    <rSty dxfid="5">
      <rpv i="0">0</rpv>
    </rSty>
    <rSty dxfid="2">
      <rpv i="0">0.00</rpv>
    </rSty>
    <rSty>
      <rpv i="2">1</rpv>
    </rSty>
    <rSty dxfid="7"/>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3" dT="2026-08-07T16:22:28.15" personId="{29516E43-67A1-4FD6-89F8-82E919A92A1C}" id="{7FA8A03C-659B-47CF-A483-718ECE4638CE}">
    <text>Averages actual years only (2018A-2024A). 'Inc. Stmt'!J6 derives 2025E residential revenue from this cell, so including 2025E here would create a circular reference.</text>
  </threadedComment>
  <threadedComment ref="B4" dT="2026-08-07T16:22:28.17" personId="{29516E43-67A1-4FD6-89F8-82E919A92A1C}" id="{CCBBE291-8ECC-4BAE-A89D-A984102300AF}">
    <text>Averages actual years only (2018A-2024A). 'Inc. Stmt'!J9 derives 2025E other revenue from this cell, so including 2025E here would create a circular reference.</text>
  </threadedComment>
  <threadedComment ref="B6" dT="2026-08-07T16:22:28.18" personId="{29516E43-67A1-4FD6-89F8-82E919A92A1C}" id="{5D7F582B-6B5A-4A02-B184-F4AEBE5099CE}">
    <text>Drives residential cost of revenue for 2027E-2031E on Inc. Stmt (row 7).</text>
  </threadedComment>
  <threadedComment ref="B7" dT="2026-08-07T16:22:28.17" personId="{29516E43-67A1-4FD6-89F8-82E919A92A1C}" id="{13745061-869A-4007-A722-BA01D9A7F4F8}">
    <text>Averages actual years only (2018A-2024A). 'Inc. Stmt'!J10 derives 2025E other cost of revenue from this cell, so including 2025E here would create a circular reference.</text>
  </threadedComment>
  <threadedComment ref="B9" dT="2026-08-07T16:22:28.19" personId="{29516E43-67A1-4FD6-89F8-82E919A92A1C}" id="{10771170-AF2F-436D-BF27-F4C8761AC611}">
    <text>Drives gross margin assumptions for 2029E-2031E on Inc. Stmt (C53:E53), which feed the DCF.</text>
  </threadedComment>
  <threadedComment ref="J9" dT="2026-08-07T16:22:28.19" personId="{29516E43-67A1-4FD6-89F8-82E919A92A1C}" id="{F0C92CA8-C6A8-45C4-8F86-10D9A2BDFFE4}">
    <text>Drives DCF!D28 (Gross Margin assumption).</text>
  </threadedComment>
  <threadedComment ref="I13" dT="2026-08-07T16:22:28.21" personId="{29516E43-67A1-4FD6-89F8-82E919A92A1C}" id="{E53AA24F-DE8D-4FE5-B4F7-D6A7986EC78A}">
    <text>Equity method income held flat at the 2024A ratio across the forecast. Referenced by Inc. Stmt row 17 for 2025E-2031E.</text>
  </threadedComment>
</ThreadedComments>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2">
    <wetp:webextensionref xmlns:r="http://schemas.openxmlformats.org/officeDocument/2006/relationships" r:id="rId1"/>
  </wetp:taskpane>
  <wetp:taskpane dockstate="right" visibility="0" width="350" row="1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737FDA56-E033-46A5-BBDA-FB3C6E712313}">
  <we:reference id="wa200009404" version="1.0.0.8" store="en-US" storeType="OMEX"/>
  <we:alternateReferences>
    <we:reference id="wa200009404" version="1.0.0.8" store="wa200009404" storeType="OMEX"/>
  </we:alternateReferences>
  <we:properties>
    <we:property name="claude.fileId" value="&quot;064ea731-5faf-4a7c-84f0-e45ea15e9672&quot;"/>
  </we:properties>
  <we:bindings/>
  <we:snapshot xmlns:r="http://schemas.openxmlformats.org/officeDocument/2006/relationships"/>
</we:webextension>
</file>

<file path=xl/webextensions/webextension2.xml><?xml version="1.0" encoding="utf-8"?>
<we:webextension xmlns:we="http://schemas.microsoft.com/office/webextensions/webextension/2010/11" id="{37CF2A55-1A57-4531-AC16-B50DD44DF810}">
  <we:reference id="wa200010215" version="2.0.0.0" store="en-US" storeType="OMEX"/>
  <we:alternateReferences>
    <we:reference id="wa200010215" version="2.0.0.0" store="en-US" storeType="OMEX"/>
  </we:alternateReferences>
  <we:properties>
    <we:property name="bps.codex_control.document_id" value="&quot;e31d2475-9f68-49e8-8d7c-afcb870d839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CA185-B9A9-44AF-B3C5-97B44C31F889}">
  <sheetPr>
    <tabColor theme="8" tint="0.59999389629810485"/>
  </sheetPr>
  <dimension ref="A1:AL30"/>
  <sheetViews>
    <sheetView showGridLines="0" workbookViewId="0">
      <selection activeCell="H25" sqref="H25"/>
    </sheetView>
  </sheetViews>
  <sheetFormatPr defaultColWidth="16.77734375" defaultRowHeight="16.05" customHeight="1"/>
  <cols>
    <col min="1" max="1" width="26.109375" customWidth="1"/>
    <col min="5" max="5" width="8.109375" customWidth="1"/>
  </cols>
  <sheetData>
    <row r="1" spans="1:38" ht="30" customHeight="1">
      <c r="A1" s="192" t="s">
        <v>227</v>
      </c>
      <c r="B1" s="14"/>
      <c r="C1" s="193"/>
      <c r="D1" s="193"/>
      <c r="E1" s="193"/>
      <c r="F1" s="193"/>
      <c r="G1" s="193"/>
      <c r="H1" s="194"/>
      <c r="I1" s="194"/>
      <c r="J1" s="194"/>
      <c r="K1" s="194"/>
      <c r="L1" s="194"/>
      <c r="M1" s="194"/>
      <c r="N1" s="181"/>
      <c r="O1" s="181"/>
      <c r="P1" s="181"/>
      <c r="Q1" s="181"/>
      <c r="R1" s="181"/>
      <c r="S1" s="181"/>
      <c r="T1" s="181"/>
      <c r="U1" s="36"/>
      <c r="V1" s="36"/>
      <c r="W1" s="36"/>
      <c r="X1" s="36"/>
      <c r="Y1" s="36"/>
      <c r="Z1" s="36"/>
      <c r="AA1" s="36"/>
      <c r="AB1" s="36"/>
      <c r="AC1" s="36"/>
      <c r="AD1" s="36"/>
      <c r="AE1" s="36"/>
      <c r="AF1" s="36"/>
      <c r="AG1" s="36"/>
      <c r="AH1" s="36"/>
      <c r="AI1" s="36"/>
      <c r="AJ1" s="36"/>
      <c r="AK1" s="36"/>
      <c r="AL1" s="36"/>
    </row>
    <row r="2" spans="1:38" ht="15" customHeight="1"/>
    <row r="3" spans="1:38" ht="16.05" customHeight="1">
      <c r="A3" s="495" t="s">
        <v>228</v>
      </c>
      <c r="B3" s="472" t="s">
        <v>229</v>
      </c>
      <c r="C3" s="472" t="s">
        <v>230</v>
      </c>
      <c r="D3" s="472" t="s">
        <v>231</v>
      </c>
      <c r="F3" s="412"/>
      <c r="G3" s="472" t="s">
        <v>482</v>
      </c>
      <c r="H3" s="472" t="s">
        <v>233</v>
      </c>
    </row>
    <row r="4" spans="1:38" ht="16.05" customHeight="1">
      <c r="A4" t="s">
        <v>234</v>
      </c>
      <c r="B4" s="64">
        <v>54.561933351737977</v>
      </c>
      <c r="C4" s="64">
        <v>47.824612643471838</v>
      </c>
      <c r="D4" s="64">
        <v>102.38654599520981</v>
      </c>
      <c r="F4" s="472" t="s">
        <v>232</v>
      </c>
      <c r="G4" s="496">
        <f>'DCF Model'!D88*0.7+'Relative Model'!K18*0.3</f>
        <v>80.269052994263134</v>
      </c>
      <c r="H4" s="497">
        <f>(G4-'Relative Model'!D3)/'Relative Model'!D3</f>
        <v>0.13824522113248922</v>
      </c>
    </row>
    <row r="5" spans="1:38" ht="16.05" customHeight="1">
      <c r="A5" t="s">
        <v>235</v>
      </c>
      <c r="B5" s="64">
        <v>67.718731713683567</v>
      </c>
      <c r="C5" s="64">
        <v>35.307830153736546</v>
      </c>
      <c r="D5" s="64">
        <v>103.02656186742011</v>
      </c>
      <c r="F5" s="472" t="s">
        <v>237</v>
      </c>
      <c r="G5" s="498">
        <f>'DCF Model'!I5*0.7+'Relative Model'!K18*0.3</f>
        <v>97.282355594106733</v>
      </c>
      <c r="H5" s="499">
        <f>(G5-'Relative Model'!D3)/'Relative Model'!D3</f>
        <v>0.37950022113027138</v>
      </c>
    </row>
    <row r="6" spans="1:38" ht="16.05" customHeight="1">
      <c r="A6" t="s">
        <v>236</v>
      </c>
      <c r="B6" s="64">
        <v>60.44</v>
      </c>
      <c r="C6" s="64">
        <v>22.740000000000009</v>
      </c>
      <c r="D6" s="64">
        <v>83.18</v>
      </c>
      <c r="F6" s="472" t="s">
        <v>239</v>
      </c>
      <c r="G6" s="498">
        <f>'DCF Model'!J5*0.7+'Relative Model'!K18*0.3</f>
        <v>63.805126743676468</v>
      </c>
      <c r="H6" s="499">
        <f>(G6-'Relative Model'!D3)/'Relative Model'!D3</f>
        <v>-9.5219416567265014E-2</v>
      </c>
    </row>
    <row r="8" spans="1:38" ht="16.05" customHeight="1">
      <c r="H8" s="64"/>
    </row>
    <row r="9" spans="1:38" ht="16.05" customHeight="1">
      <c r="H9" s="12"/>
    </row>
    <row r="10" spans="1:38" ht="16.05" customHeight="1">
      <c r="A10" s="509" t="s">
        <v>238</v>
      </c>
      <c r="B10" s="509"/>
      <c r="C10" s="509"/>
      <c r="D10" s="509"/>
    </row>
    <row r="12" spans="1:38" ht="16.05" customHeight="1">
      <c r="H12" s="64"/>
    </row>
    <row r="13" spans="1:38" ht="16.05" customHeight="1">
      <c r="H13" s="12"/>
    </row>
    <row r="17" spans="2:7" ht="16.05" customHeight="1">
      <c r="G17" s="64"/>
    </row>
    <row r="30" spans="2:7" ht="16.05" customHeight="1">
      <c r="B30" s="4"/>
      <c r="C30" s="64"/>
      <c r="D30" s="64"/>
    </row>
  </sheetData>
  <mergeCells count="1">
    <mergeCell ref="A10:D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5F5B-6B47-47F8-9BB8-BC2FA7CCDC76}">
  <sheetPr>
    <tabColor theme="9" tint="0.39997558519241921"/>
    <pageSetUpPr fitToPage="1"/>
  </sheetPr>
  <dimension ref="A1:AN61"/>
  <sheetViews>
    <sheetView showGridLines="0" tabSelected="1" topLeftCell="C20" workbookViewId="0">
      <selection activeCell="J41" sqref="J41"/>
    </sheetView>
  </sheetViews>
  <sheetFormatPr defaultColWidth="16.77734375" defaultRowHeight="16.05" customHeight="1"/>
  <cols>
    <col min="1" max="1" width="66.77734375" customWidth="1"/>
  </cols>
  <sheetData>
    <row r="1" spans="1:40" ht="30" customHeight="1">
      <c r="A1" s="192" t="s">
        <v>365</v>
      </c>
      <c r="B1" s="14"/>
      <c r="C1" s="193"/>
      <c r="D1" s="193"/>
      <c r="E1" s="193"/>
      <c r="F1" s="193"/>
      <c r="G1" s="193"/>
      <c r="H1" s="193"/>
      <c r="I1" s="193"/>
      <c r="J1" s="194"/>
      <c r="K1" s="194"/>
      <c r="L1" s="194"/>
      <c r="M1" s="194"/>
      <c r="N1" s="194"/>
      <c r="O1" s="194"/>
      <c r="P1" s="181"/>
      <c r="Q1" s="181"/>
      <c r="R1" s="181"/>
      <c r="S1" s="181"/>
      <c r="T1" s="181"/>
      <c r="U1" s="181"/>
      <c r="V1" s="181"/>
      <c r="W1" s="36"/>
      <c r="X1" s="36"/>
      <c r="Y1" s="36"/>
      <c r="Z1" s="36"/>
      <c r="AA1" s="36"/>
      <c r="AB1" s="36"/>
      <c r="AC1" s="36"/>
      <c r="AD1" s="36"/>
      <c r="AE1" s="36"/>
      <c r="AF1" s="36"/>
      <c r="AG1" s="36"/>
      <c r="AH1" s="36"/>
      <c r="AI1" s="36"/>
      <c r="AJ1" s="36"/>
      <c r="AK1" s="36"/>
      <c r="AL1" s="36"/>
      <c r="AM1" s="36"/>
      <c r="AN1" s="36"/>
    </row>
    <row r="2" spans="1:40" s="36" customFormat="1" ht="16.05" customHeight="1">
      <c r="A2" s="232" t="s">
        <v>58</v>
      </c>
      <c r="B2" s="243">
        <v>2018</v>
      </c>
      <c r="C2" s="243">
        <v>2019</v>
      </c>
      <c r="D2" s="243">
        <v>2020</v>
      </c>
      <c r="E2" s="243">
        <v>2021</v>
      </c>
      <c r="F2" s="243">
        <v>2022</v>
      </c>
      <c r="G2" s="243">
        <v>2023</v>
      </c>
      <c r="H2" s="243">
        <v>2024</v>
      </c>
      <c r="I2" s="243" t="s">
        <v>59</v>
      </c>
      <c r="J2" s="288" t="s">
        <v>60</v>
      </c>
      <c r="K2" s="243" t="s">
        <v>61</v>
      </c>
      <c r="L2" s="243" t="s">
        <v>62</v>
      </c>
      <c r="M2" s="243" t="s">
        <v>63</v>
      </c>
      <c r="N2" s="243" t="s">
        <v>64</v>
      </c>
      <c r="O2" s="243" t="s">
        <v>65</v>
      </c>
      <c r="P2" s="181"/>
      <c r="Q2" s="181"/>
      <c r="R2" s="181"/>
      <c r="S2" s="181"/>
      <c r="T2" s="181"/>
      <c r="U2" s="181"/>
      <c r="V2" s="181"/>
    </row>
    <row r="3" spans="1:40" s="116" customFormat="1" ht="16.05" customHeight="1">
      <c r="A3" s="365" t="s">
        <v>371</v>
      </c>
      <c r="B3" s="209">
        <v>578893</v>
      </c>
      <c r="C3" s="209">
        <v>759830</v>
      </c>
      <c r="D3" s="209">
        <v>930176</v>
      </c>
      <c r="E3" s="209">
        <v>1309687</v>
      </c>
      <c r="F3" s="209">
        <v>1703951</v>
      </c>
      <c r="G3" s="209">
        <v>1769255</v>
      </c>
      <c r="H3" s="223">
        <v>2070136</v>
      </c>
      <c r="I3" s="205">
        <f>I5*'Common Inc. Stmt.'!$B$3</f>
        <v>2011241.4781792937</v>
      </c>
      <c r="J3" s="205">
        <f>J5*'Common Inc. Stmt.'!$B$3</f>
        <v>2023644.770027648</v>
      </c>
      <c r="K3" s="205">
        <f>K5*'Common Inc. Stmt.'!$B$3</f>
        <v>2061164.9468513678</v>
      </c>
      <c r="L3" s="205">
        <f>L5*'Common Inc. Stmt.'!$B$3</f>
        <v>2226363.190196258</v>
      </c>
      <c r="M3" s="205">
        <f>M5*'Common Inc. Stmt.'!$B$3</f>
        <v>2390491.0768490238</v>
      </c>
      <c r="N3" s="205">
        <f>N5*'Common Inc. Stmt.'!$B$3</f>
        <v>2539676.2034183415</v>
      </c>
      <c r="O3" s="205">
        <f>O5*'Common Inc. Stmt.'!$B$3</f>
        <v>2707941.0150452242</v>
      </c>
      <c r="P3" s="185"/>
      <c r="Q3" s="184"/>
      <c r="R3" s="184"/>
      <c r="S3" s="184"/>
      <c r="T3" s="184"/>
      <c r="U3" s="184"/>
      <c r="V3" s="184"/>
    </row>
    <row r="4" spans="1:40" s="116" customFormat="1" ht="16.05" customHeight="1">
      <c r="A4" s="423" t="s">
        <v>372</v>
      </c>
      <c r="B4" s="420">
        <v>44754</v>
      </c>
      <c r="C4" s="420">
        <v>31830</v>
      </c>
      <c r="D4" s="420">
        <v>45845</v>
      </c>
      <c r="E4" s="420">
        <v>93189</v>
      </c>
      <c r="F4" s="420">
        <v>53842</v>
      </c>
      <c r="G4" s="420">
        <v>8455</v>
      </c>
      <c r="H4" s="421">
        <v>28807</v>
      </c>
      <c r="I4" s="422">
        <f>I5*'Common Inc. Stmt.'!$B$4</f>
        <v>82081.571820706522</v>
      </c>
      <c r="J4" s="422">
        <f>J5*'Common Inc. Stmt.'!$B$4</f>
        <v>82587.767472352236</v>
      </c>
      <c r="K4" s="422">
        <f>K5*'Common Inc. Stmt.'!$B$4</f>
        <v>84119.018255559902</v>
      </c>
      <c r="L4" s="422">
        <f>L5*'Common Inc. Stmt.'!$B$4</f>
        <v>90860.989134185205</v>
      </c>
      <c r="M4" s="422">
        <f>M5*'Common Inc. Stmt.'!$B$4</f>
        <v>97559.277262304677</v>
      </c>
      <c r="N4" s="422">
        <f>N5*'Common Inc. Stmt.'!$B$4</f>
        <v>103647.73049576022</v>
      </c>
      <c r="O4" s="422">
        <f>O5*'Common Inc. Stmt.'!$B$4</f>
        <v>110514.8523059929</v>
      </c>
      <c r="P4" s="185"/>
      <c r="Q4" s="184"/>
      <c r="R4" s="184"/>
      <c r="S4" s="184"/>
      <c r="T4" s="184"/>
      <c r="U4" s="184"/>
      <c r="V4" s="184"/>
    </row>
    <row r="5" spans="1:40" s="161" customFormat="1" ht="16.05" customHeight="1">
      <c r="A5" s="417" t="s">
        <v>375</v>
      </c>
      <c r="B5" s="418">
        <v>623647</v>
      </c>
      <c r="C5" s="418">
        <v>791660</v>
      </c>
      <c r="D5" s="418">
        <v>976021</v>
      </c>
      <c r="E5" s="418">
        <v>1402876</v>
      </c>
      <c r="F5" s="418">
        <v>1757793</v>
      </c>
      <c r="G5" s="418">
        <v>1777710</v>
      </c>
      <c r="H5" s="418">
        <v>2098943</v>
      </c>
      <c r="I5" s="419">
        <f>I34</f>
        <v>2093323.0500000003</v>
      </c>
      <c r="J5" s="419">
        <f t="shared" ref="J5:O5" si="0">J34</f>
        <v>2106232.5375000001</v>
      </c>
      <c r="K5" s="419">
        <f t="shared" si="0"/>
        <v>2145283.9651069278</v>
      </c>
      <c r="L5" s="419">
        <f t="shared" si="0"/>
        <v>2317224.179330443</v>
      </c>
      <c r="M5" s="419">
        <f t="shared" si="0"/>
        <v>2488050.3541113287</v>
      </c>
      <c r="N5" s="419">
        <f t="shared" si="0"/>
        <v>2643323.9339141017</v>
      </c>
      <c r="O5" s="419">
        <f t="shared" si="0"/>
        <v>2818455.8673512172</v>
      </c>
      <c r="P5" s="181"/>
      <c r="Q5" s="186"/>
      <c r="R5" s="186"/>
      <c r="S5" s="186"/>
      <c r="T5" s="186"/>
      <c r="U5" s="186"/>
      <c r="V5" s="186"/>
      <c r="X5" s="174"/>
      <c r="Y5" s="174"/>
      <c r="Z5" s="174"/>
      <c r="AA5" s="174"/>
      <c r="AB5" s="174"/>
      <c r="AC5" s="174"/>
      <c r="AD5" s="174"/>
      <c r="AE5" s="174"/>
      <c r="AF5" s="174"/>
      <c r="AG5" s="174"/>
      <c r="AH5" s="174"/>
    </row>
    <row r="6" spans="1:40" s="116" customFormat="1" ht="16.05" customHeight="1">
      <c r="A6" s="365" t="s">
        <v>373</v>
      </c>
      <c r="B6" s="209">
        <v>457151</v>
      </c>
      <c r="C6" s="209">
        <v>597884</v>
      </c>
      <c r="D6" s="209">
        <v>705866</v>
      </c>
      <c r="E6" s="209">
        <v>964364</v>
      </c>
      <c r="F6" s="209">
        <v>1196914</v>
      </c>
      <c r="G6" s="209">
        <v>1223079</v>
      </c>
      <c r="H6" s="223">
        <v>1370888</v>
      </c>
      <c r="I6" s="205">
        <f>I5*0.65</f>
        <v>1360659.9825000002</v>
      </c>
      <c r="J6" s="205">
        <f>J5*0.65</f>
        <v>1369051.149375</v>
      </c>
      <c r="K6" s="205">
        <f>K5*'Common Inc. Stmt.'!$B$6</f>
        <v>1493906.8728737754</v>
      </c>
      <c r="L6" s="205">
        <f>L5*'Common Inc. Stmt.'!$B$6</f>
        <v>1613640.5174307541</v>
      </c>
      <c r="M6" s="205">
        <f>M5*'Common Inc. Stmt.'!$B$6</f>
        <v>1732598.3806892817</v>
      </c>
      <c r="N6" s="205">
        <f>N5*'Common Inc. Stmt.'!$B$6</f>
        <v>1840725.9161652278</v>
      </c>
      <c r="O6" s="205">
        <f>O5*'Common Inc. Stmt.'!$B$6</f>
        <v>1962682.171503359</v>
      </c>
      <c r="P6" s="185"/>
      <c r="Q6" s="184"/>
      <c r="R6" s="184"/>
      <c r="S6" s="184"/>
      <c r="T6" s="184"/>
      <c r="U6" s="184"/>
      <c r="V6" s="184"/>
    </row>
    <row r="7" spans="1:40" s="116" customFormat="1" ht="16.05" customHeight="1">
      <c r="A7" s="365" t="s">
        <v>374</v>
      </c>
      <c r="B7" s="209">
        <v>36166</v>
      </c>
      <c r="C7" s="209">
        <v>24694</v>
      </c>
      <c r="D7" s="209">
        <v>35551</v>
      </c>
      <c r="E7" s="209">
        <v>76453</v>
      </c>
      <c r="F7" s="209">
        <v>37854</v>
      </c>
      <c r="G7" s="209">
        <v>6449</v>
      </c>
      <c r="H7" s="223">
        <v>24534</v>
      </c>
      <c r="I7" s="205">
        <f>I5*'Common Inc. Stmt.'!$B$7</f>
        <v>64880.148669678718</v>
      </c>
      <c r="J7" s="205">
        <f>J5*'Common Inc. Stmt.'!$B$7</f>
        <v>65280.263438514485</v>
      </c>
      <c r="K7" s="205">
        <f>K5*'Common Inc. Stmt.'!$B$7</f>
        <v>66490.617678344148</v>
      </c>
      <c r="L7" s="205">
        <f>L5*'Common Inc. Stmt.'!$B$7</f>
        <v>71819.707548690771</v>
      </c>
      <c r="M7" s="205">
        <f>M5*'Common Inc. Stmt.'!$B$7</f>
        <v>77114.269043370907</v>
      </c>
      <c r="N7" s="205">
        <f>N5*'Common Inc. Stmt.'!$B$7</f>
        <v>81926.795682332406</v>
      </c>
      <c r="O7" s="205">
        <f>O5*'Common Inc. Stmt.'!$B$7</f>
        <v>87354.809231511215</v>
      </c>
      <c r="P7" s="185"/>
      <c r="Q7" s="184"/>
      <c r="R7" s="184"/>
      <c r="S7" s="184"/>
      <c r="T7" s="184"/>
      <c r="U7" s="184"/>
      <c r="V7" s="184"/>
    </row>
    <row r="8" spans="1:40" s="131" customFormat="1" ht="16.05" customHeight="1">
      <c r="A8" s="264" t="s">
        <v>376</v>
      </c>
      <c r="B8" s="217">
        <v>493317</v>
      </c>
      <c r="C8" s="217">
        <v>622578</v>
      </c>
      <c r="D8" s="217">
        <v>741417</v>
      </c>
      <c r="E8" s="217">
        <v>1040817</v>
      </c>
      <c r="F8" s="217">
        <v>1234768</v>
      </c>
      <c r="G8" s="217">
        <v>1229528</v>
      </c>
      <c r="H8" s="224">
        <v>1395422</v>
      </c>
      <c r="I8" s="218">
        <f>'Inc. Stmt.'!I5-'Inc. Stmt.'!I9</f>
        <v>1431832.9662000001</v>
      </c>
      <c r="J8" s="218">
        <f>'Inc. Stmt.'!J5-'Inc. Stmt.'!J9</f>
        <v>1474362.7762500001</v>
      </c>
      <c r="K8" s="218">
        <f>K5-K9</f>
        <v>1523151.6152259188</v>
      </c>
      <c r="L8" s="218">
        <f>L5-L9</f>
        <v>1668401.4091179189</v>
      </c>
      <c r="M8" s="218">
        <f>M5-M9</f>
        <v>1810647.5801072044</v>
      </c>
      <c r="N8" s="218">
        <f>N5-N9</f>
        <v>1923645.9891064032</v>
      </c>
      <c r="O8" s="218">
        <f>O5-O9</f>
        <v>2051096.0670171739</v>
      </c>
      <c r="P8" s="185"/>
      <c r="Q8" s="186"/>
      <c r="R8" s="186"/>
      <c r="S8" s="186"/>
      <c r="T8" s="186"/>
      <c r="U8" s="186"/>
      <c r="V8" s="186"/>
      <c r="W8" s="161"/>
      <c r="X8" s="175"/>
      <c r="Y8" s="175"/>
      <c r="Z8" s="175"/>
      <c r="AA8" s="161"/>
      <c r="AB8" s="161"/>
      <c r="AC8" s="161"/>
      <c r="AD8" s="161"/>
      <c r="AE8" s="161"/>
    </row>
    <row r="9" spans="1:40" s="131" customFormat="1" ht="16.05" customHeight="1">
      <c r="A9" s="264" t="s">
        <v>377</v>
      </c>
      <c r="B9" s="217">
        <v>130330</v>
      </c>
      <c r="C9" s="217">
        <v>169082</v>
      </c>
      <c r="D9" s="217">
        <v>234604</v>
      </c>
      <c r="E9" s="217">
        <v>362059</v>
      </c>
      <c r="F9" s="217">
        <v>523025</v>
      </c>
      <c r="G9" s="217">
        <v>548182</v>
      </c>
      <c r="H9" s="224">
        <v>703521</v>
      </c>
      <c r="I9" s="218">
        <f>'Inc. Stmt.'!I5*'Inc. Stmt.'!I42</f>
        <v>661490.08380000014</v>
      </c>
      <c r="J9" s="218">
        <f>'Inc. Stmt.'!J5*'Inc. Stmt.'!J42</f>
        <v>631869.76124999998</v>
      </c>
      <c r="K9" s="218">
        <f>K5*K42</f>
        <v>622132.34988100897</v>
      </c>
      <c r="L9" s="218">
        <f>L5*L42</f>
        <v>648822.7702125241</v>
      </c>
      <c r="M9" s="218">
        <f>M5*M42</f>
        <v>677402.77400412434</v>
      </c>
      <c r="N9" s="218">
        <f>N5*N42</f>
        <v>719677.94480769837</v>
      </c>
      <c r="O9" s="218">
        <f>O5*O42</f>
        <v>767359.80033404334</v>
      </c>
      <c r="P9" s="186"/>
      <c r="Q9" s="187"/>
      <c r="R9" s="187"/>
      <c r="S9" s="187"/>
      <c r="T9" s="187"/>
      <c r="U9" s="187"/>
      <c r="V9" s="187"/>
    </row>
    <row r="10" spans="1:40" s="116" customFormat="1" ht="16.05" customHeight="1">
      <c r="A10" s="365" t="s">
        <v>4</v>
      </c>
      <c r="B10" s="209">
        <v>56830</v>
      </c>
      <c r="C10" s="209">
        <v>98659</v>
      </c>
      <c r="D10" s="209">
        <v>112134</v>
      </c>
      <c r="E10" s="209">
        <v>134269</v>
      </c>
      <c r="F10" s="209">
        <v>163943</v>
      </c>
      <c r="G10" s="209">
        <v>192977</v>
      </c>
      <c r="H10" s="223">
        <v>226566</v>
      </c>
      <c r="I10" s="205">
        <f>((I44*'Inc. Stmt.'!I5)-'Inc. Stmt.'!I9)/-1</f>
        <v>226288.22170500009</v>
      </c>
      <c r="J10" s="205">
        <f>((J44*'Inc. Stmt.'!J5)-'Inc. Stmt.'!J9)/-1</f>
        <v>203491.01779103582</v>
      </c>
      <c r="K10" s="205">
        <f>((K44*'Inc. Stmt.'!K5)-'Inc. Stmt.'!K9)/-1</f>
        <v>200355.125125108</v>
      </c>
      <c r="L10" s="205">
        <f>((L44*'Inc. Stmt.'!L5)-'Inc. Stmt.'!L9)/-1</f>
        <v>208950.66352812538</v>
      </c>
      <c r="M10" s="205">
        <f>((M44*'Inc. Stmt.'!M5)-'Inc. Stmt.'!M9)/-1</f>
        <v>217720.34296416235</v>
      </c>
      <c r="N10" s="205">
        <f>((N44*'Inc. Stmt.'!N5)-'Inc. Stmt.'!N9)/-1</f>
        <v>231307.7757876463</v>
      </c>
      <c r="O10" s="205">
        <f>((O44*'Inc. Stmt.'!O5)-'Inc. Stmt.'!O9)/-1</f>
        <v>246632.94175500661</v>
      </c>
      <c r="P10" s="185"/>
      <c r="Q10" s="184"/>
      <c r="R10" s="184"/>
      <c r="S10" s="184"/>
      <c r="T10" s="184"/>
      <c r="U10" s="184"/>
      <c r="V10" s="184"/>
    </row>
    <row r="11" spans="1:40" s="116" customFormat="1" ht="16.05" customHeight="1">
      <c r="A11" s="365" t="s">
        <v>363</v>
      </c>
      <c r="B11" s="210">
        <v>1693</v>
      </c>
      <c r="C11" s="210">
        <v>0</v>
      </c>
      <c r="D11" s="210">
        <v>0</v>
      </c>
      <c r="E11" s="210">
        <v>0</v>
      </c>
      <c r="F11" s="210">
        <v>0</v>
      </c>
      <c r="G11" s="210">
        <v>0</v>
      </c>
      <c r="H11" s="225">
        <v>0</v>
      </c>
      <c r="I11" s="206">
        <v>0</v>
      </c>
      <c r="J11" s="206">
        <v>0</v>
      </c>
      <c r="K11" s="206">
        <v>0</v>
      </c>
      <c r="L11" s="206">
        <v>0</v>
      </c>
      <c r="M11" s="206">
        <v>0</v>
      </c>
      <c r="N11" s="206">
        <v>0</v>
      </c>
      <c r="O11" s="206">
        <v>0</v>
      </c>
      <c r="P11" s="185"/>
      <c r="Q11" s="184"/>
      <c r="R11" s="184"/>
      <c r="S11" s="184"/>
      <c r="T11" s="184"/>
      <c r="U11" s="184"/>
      <c r="V11" s="184"/>
    </row>
    <row r="12" spans="1:40" s="116" customFormat="1" ht="16.05" customHeight="1">
      <c r="A12" s="365" t="s">
        <v>364</v>
      </c>
      <c r="B12" s="210">
        <f>'Cash Flow Stmt.'!B8</f>
        <v>1693</v>
      </c>
      <c r="C12" s="210">
        <f>'Cash Flow Stmt.'!C8</f>
        <v>4906</v>
      </c>
      <c r="D12" s="210">
        <f>'Cash Flow Stmt.'!D8</f>
        <v>368</v>
      </c>
      <c r="E12" s="210">
        <f>'Cash Flow Stmt.'!E8</f>
        <v>0</v>
      </c>
      <c r="F12" s="210">
        <f>'Cash Flow Stmt.'!F8</f>
        <v>0</v>
      </c>
      <c r="G12" s="210">
        <f>'Cash Flow Stmt.'!G8</f>
        <v>0</v>
      </c>
      <c r="H12" s="225">
        <f>'Cash Flow Stmt.'!H8</f>
        <v>0</v>
      </c>
      <c r="I12" s="206">
        <v>0</v>
      </c>
      <c r="J12" s="206">
        <v>0</v>
      </c>
      <c r="K12" s="206">
        <v>0</v>
      </c>
      <c r="L12" s="206">
        <v>0</v>
      </c>
      <c r="M12" s="206">
        <v>0</v>
      </c>
      <c r="N12" s="206">
        <v>0</v>
      </c>
      <c r="O12" s="206">
        <v>0</v>
      </c>
      <c r="P12" s="185"/>
      <c r="Q12" s="185"/>
      <c r="R12" s="185"/>
      <c r="S12" s="185"/>
      <c r="T12" s="185"/>
      <c r="U12" s="185"/>
      <c r="V12" s="185"/>
      <c r="W12" s="160"/>
      <c r="X12" s="160"/>
      <c r="Y12" s="160"/>
      <c r="Z12" s="160"/>
      <c r="AA12" s="160"/>
      <c r="AB12" s="160"/>
      <c r="AC12" s="160"/>
      <c r="AD12" s="160"/>
      <c r="AE12" s="160"/>
      <c r="AF12" s="160"/>
    </row>
    <row r="13" spans="1:40" s="116" customFormat="1" ht="16.05" customHeight="1">
      <c r="A13" s="365" t="s">
        <v>6</v>
      </c>
      <c r="B13" s="209">
        <v>7259</v>
      </c>
      <c r="C13" s="209">
        <v>9809</v>
      </c>
      <c r="D13" s="209">
        <v>16654</v>
      </c>
      <c r="E13" s="209">
        <v>19713</v>
      </c>
      <c r="F13" s="209">
        <v>25626</v>
      </c>
      <c r="G13" s="209">
        <v>16742</v>
      </c>
      <c r="H13" s="223">
        <v>5083</v>
      </c>
      <c r="I13" s="205">
        <f>H5*'Common Inc. Stmt.'!$I$13</f>
        <v>5083</v>
      </c>
      <c r="J13" s="205">
        <f>I5*'Common Inc. Stmt.'!$I$13</f>
        <v>5069.3901945645976</v>
      </c>
      <c r="K13" s="205">
        <f>J5*'Common Inc. Stmt.'!$I$13</f>
        <v>5100.6530373204514</v>
      </c>
      <c r="L13" s="205">
        <f>K5*'Common Inc. Stmt.'!$I$13</f>
        <v>5195.2236886082728</v>
      </c>
      <c r="M13" s="205">
        <f>L5*'Common Inc. Stmt.'!$I$13</f>
        <v>5611.6104646656158</v>
      </c>
      <c r="N13" s="205">
        <f>M5*'Common Inc. Stmt.'!$I$13</f>
        <v>6025.2993768520073</v>
      </c>
      <c r="O13" s="205">
        <f>N5*'Common Inc. Stmt.'!$I$13</f>
        <v>6401.3246458266749</v>
      </c>
      <c r="P13" s="185"/>
      <c r="Q13" s="185"/>
      <c r="R13" s="185"/>
      <c r="S13" s="185"/>
      <c r="T13" s="185"/>
      <c r="U13" s="185"/>
      <c r="V13" s="185"/>
      <c r="W13" s="160"/>
      <c r="X13" s="160"/>
      <c r="Y13" s="160"/>
      <c r="Z13" s="160"/>
      <c r="AA13" s="160"/>
      <c r="AB13" s="160"/>
      <c r="AC13" s="160"/>
      <c r="AD13" s="160"/>
      <c r="AE13" s="160"/>
      <c r="AF13" s="160"/>
    </row>
    <row r="14" spans="1:40" s="116" customFormat="1" ht="16.05" customHeight="1">
      <c r="A14" s="365" t="s">
        <v>7</v>
      </c>
      <c r="B14" s="209">
        <v>2605</v>
      </c>
      <c r="C14" s="209">
        <v>9003</v>
      </c>
      <c r="D14" s="209">
        <v>4057</v>
      </c>
      <c r="E14" s="209">
        <v>9483</v>
      </c>
      <c r="F14" s="209">
        <v>11757</v>
      </c>
      <c r="G14" s="209">
        <v>19366</v>
      </c>
      <c r="H14" s="223">
        <v>29842</v>
      </c>
      <c r="I14" s="205">
        <f t="shared" ref="I14:N14" si="1">I5*0.01</f>
        <v>20933.230500000001</v>
      </c>
      <c r="J14" s="205">
        <f t="shared" si="1"/>
        <v>21062.325375</v>
      </c>
      <c r="K14" s="205">
        <f t="shared" si="1"/>
        <v>21452.83965106928</v>
      </c>
      <c r="L14" s="205">
        <f t="shared" si="1"/>
        <v>23172.241793304431</v>
      </c>
      <c r="M14" s="205">
        <f t="shared" si="1"/>
        <v>24880.503541113289</v>
      </c>
      <c r="N14" s="205">
        <f t="shared" si="1"/>
        <v>26433.239339141019</v>
      </c>
      <c r="O14" s="205">
        <f>O5*0.008</f>
        <v>22547.646938809739</v>
      </c>
      <c r="P14" s="185"/>
      <c r="Q14" s="185"/>
      <c r="R14" s="185"/>
      <c r="S14" s="185"/>
      <c r="T14" s="185"/>
      <c r="U14" s="185"/>
      <c r="V14" s="185"/>
      <c r="W14" s="160"/>
      <c r="X14" s="160"/>
      <c r="Y14" s="160"/>
      <c r="Z14" s="160"/>
      <c r="AA14" s="160"/>
      <c r="AB14" s="160"/>
      <c r="AC14" s="160"/>
      <c r="AD14" s="160"/>
      <c r="AE14" s="160"/>
      <c r="AF14" s="160"/>
    </row>
    <row r="15" spans="1:40" s="133" customFormat="1" ht="16.05" customHeight="1">
      <c r="A15" s="265" t="s">
        <v>8</v>
      </c>
      <c r="B15" s="219">
        <v>81671</v>
      </c>
      <c r="C15" s="219">
        <v>84329</v>
      </c>
      <c r="D15" s="219">
        <v>142813</v>
      </c>
      <c r="E15" s="219">
        <v>256986</v>
      </c>
      <c r="F15" s="219">
        <v>396465</v>
      </c>
      <c r="G15" s="219">
        <v>391313</v>
      </c>
      <c r="H15" s="226">
        <v>511880</v>
      </c>
      <c r="I15" s="220">
        <f t="shared" ref="I15:O15" si="2">I9-I10</f>
        <v>435201.86209500005</v>
      </c>
      <c r="J15" s="220">
        <f t="shared" si="2"/>
        <v>428378.74345896416</v>
      </c>
      <c r="K15" s="220">
        <f t="shared" si="2"/>
        <v>421777.22475590097</v>
      </c>
      <c r="L15" s="220">
        <f t="shared" si="2"/>
        <v>439872.10668439872</v>
      </c>
      <c r="M15" s="220">
        <f t="shared" si="2"/>
        <v>459682.43103996199</v>
      </c>
      <c r="N15" s="220">
        <f t="shared" si="2"/>
        <v>488370.16902005207</v>
      </c>
      <c r="O15" s="220">
        <f t="shared" si="2"/>
        <v>520726.85857903672</v>
      </c>
      <c r="P15" s="188"/>
      <c r="Q15" s="188"/>
      <c r="R15" s="188"/>
      <c r="S15" s="188"/>
      <c r="T15" s="188"/>
      <c r="U15" s="188"/>
      <c r="V15" s="188"/>
      <c r="W15" s="162"/>
      <c r="X15" s="162"/>
      <c r="Y15" s="162"/>
      <c r="Z15" s="162"/>
      <c r="AA15" s="162"/>
      <c r="AB15" s="162"/>
      <c r="AC15" s="162"/>
      <c r="AD15" s="162"/>
      <c r="AE15" s="162"/>
      <c r="AF15" s="162"/>
    </row>
    <row r="16" spans="1:40" s="116" customFormat="1" ht="16.05" customHeight="1">
      <c r="A16" s="365" t="s">
        <v>9</v>
      </c>
      <c r="B16" s="209">
        <v>17136</v>
      </c>
      <c r="C16" s="209">
        <v>20027</v>
      </c>
      <c r="D16" s="209">
        <v>25016</v>
      </c>
      <c r="E16" s="209">
        <v>52605</v>
      </c>
      <c r="F16" s="209">
        <v>82468</v>
      </c>
      <c r="G16" s="209">
        <v>84638</v>
      </c>
      <c r="H16" s="223">
        <v>94725</v>
      </c>
      <c r="I16" s="205">
        <f>I15*'Tax Rate Calc.'!$B$8</f>
        <v>100265.32451748276</v>
      </c>
      <c r="J16" s="205">
        <f>J15*'Tax Rate Calc.'!$B$8</f>
        <v>98693.359266759449</v>
      </c>
      <c r="K16" s="205">
        <f>K15*'Tax Rate Calc.'!$B$8</f>
        <v>97172.448000698787</v>
      </c>
      <c r="L16" s="205">
        <f>L15*'Tax Rate Calc.'!$B$8</f>
        <v>101341.29323479919</v>
      </c>
      <c r="M16" s="205">
        <f>M15*'Tax Rate Calc.'!$B$8</f>
        <v>105905.35596822921</v>
      </c>
      <c r="N16" s="205">
        <f>N15*'Tax Rate Calc.'!$B$8</f>
        <v>112514.66904515342</v>
      </c>
      <c r="O16" s="205">
        <f>O15*'Tax Rate Calc.'!$B$8</f>
        <v>119969.26485806117</v>
      </c>
      <c r="P16" s="185"/>
      <c r="Q16" s="185"/>
      <c r="R16" s="185"/>
      <c r="S16" s="185"/>
      <c r="T16" s="185"/>
      <c r="U16" s="185"/>
      <c r="V16" s="185"/>
      <c r="W16" s="160"/>
      <c r="X16" s="160"/>
      <c r="Y16" s="160"/>
      <c r="Z16" s="160"/>
      <c r="AA16" s="160"/>
      <c r="AB16" s="160"/>
      <c r="AC16" s="160"/>
      <c r="AD16" s="160"/>
      <c r="AE16" s="160"/>
      <c r="AF16" s="160"/>
    </row>
    <row r="17" spans="1:32" s="132" customFormat="1" ht="16.05" customHeight="1" thickBot="1">
      <c r="A17" s="311" t="s">
        <v>10</v>
      </c>
      <c r="B17" s="312">
        <v>64535</v>
      </c>
      <c r="C17" s="312">
        <v>64302</v>
      </c>
      <c r="D17" s="312">
        <v>117797</v>
      </c>
      <c r="E17" s="312">
        <v>204381</v>
      </c>
      <c r="F17" s="312">
        <v>313997</v>
      </c>
      <c r="G17" s="312">
        <v>306675</v>
      </c>
      <c r="H17" s="313">
        <v>417155</v>
      </c>
      <c r="I17" s="314">
        <f t="shared" ref="I17:O17" si="3">I15-I16</f>
        <v>334936.53757751727</v>
      </c>
      <c r="J17" s="314">
        <f t="shared" si="3"/>
        <v>329685.38419220468</v>
      </c>
      <c r="K17" s="314">
        <f t="shared" si="3"/>
        <v>324604.77675520221</v>
      </c>
      <c r="L17" s="314">
        <f t="shared" si="3"/>
        <v>338530.81344959955</v>
      </c>
      <c r="M17" s="314">
        <f t="shared" si="3"/>
        <v>353777.07507173275</v>
      </c>
      <c r="N17" s="314">
        <f t="shared" si="3"/>
        <v>375855.49997489864</v>
      </c>
      <c r="O17" s="314">
        <f t="shared" si="3"/>
        <v>400757.59372097556</v>
      </c>
      <c r="P17" s="186"/>
      <c r="Q17" s="186"/>
      <c r="R17" s="186"/>
      <c r="S17" s="186"/>
      <c r="T17" s="186"/>
      <c r="U17" s="186"/>
      <c r="V17" s="186"/>
      <c r="W17" s="161"/>
      <c r="X17" s="161"/>
      <c r="Y17" s="161"/>
      <c r="Z17" s="161"/>
      <c r="AA17" s="161"/>
      <c r="AB17" s="161"/>
      <c r="AC17" s="161"/>
      <c r="AD17" s="161"/>
      <c r="AE17" s="161"/>
      <c r="AF17" s="161"/>
    </row>
    <row r="18" spans="1:32" s="116" customFormat="1" ht="16.05" customHeight="1" thickTop="1">
      <c r="A18" s="365" t="s">
        <v>11</v>
      </c>
      <c r="B18" s="210">
        <v>12912</v>
      </c>
      <c r="C18" s="210">
        <v>5646</v>
      </c>
      <c r="D18" s="210">
        <v>4104</v>
      </c>
      <c r="E18" s="210">
        <v>14171</v>
      </c>
      <c r="F18" s="210">
        <v>22097</v>
      </c>
      <c r="G18" s="210">
        <v>22049</v>
      </c>
      <c r="H18" s="225">
        <v>35572</v>
      </c>
      <c r="I18" s="206">
        <f t="shared" ref="I18:O18" si="4">I5*0.0132</f>
        <v>27631.864260000002</v>
      </c>
      <c r="J18" s="206">
        <f t="shared" si="4"/>
        <v>27802.269495</v>
      </c>
      <c r="K18" s="206">
        <f t="shared" si="4"/>
        <v>28317.748339411446</v>
      </c>
      <c r="L18" s="206">
        <f t="shared" si="4"/>
        <v>30587.359167161849</v>
      </c>
      <c r="M18" s="206">
        <f t="shared" si="4"/>
        <v>32842.264674269536</v>
      </c>
      <c r="N18" s="206">
        <f t="shared" si="4"/>
        <v>34891.875927666144</v>
      </c>
      <c r="O18" s="206">
        <f t="shared" si="4"/>
        <v>37203.617449036064</v>
      </c>
      <c r="P18" s="185"/>
      <c r="Q18" s="185"/>
      <c r="R18" s="185"/>
      <c r="S18" s="185"/>
      <c r="T18" s="185"/>
      <c r="U18" s="185"/>
      <c r="V18" s="185"/>
      <c r="W18" s="160"/>
      <c r="X18" s="160"/>
      <c r="Y18" s="160"/>
      <c r="Z18" s="160"/>
      <c r="AA18" s="160"/>
      <c r="AB18" s="160"/>
      <c r="AC18" s="160"/>
      <c r="AD18" s="160"/>
      <c r="AE18" s="160"/>
      <c r="AF18" s="160"/>
    </row>
    <row r="19" spans="1:32" s="116" customFormat="1" ht="16.05" customHeight="1">
      <c r="A19" s="266" t="s">
        <v>12</v>
      </c>
      <c r="B19" s="221">
        <v>51623</v>
      </c>
      <c r="C19" s="221">
        <v>58656</v>
      </c>
      <c r="D19" s="221">
        <v>113693</v>
      </c>
      <c r="E19" s="221">
        <v>190210</v>
      </c>
      <c r="F19" s="221">
        <v>291900</v>
      </c>
      <c r="G19" s="221">
        <v>284626</v>
      </c>
      <c r="H19" s="227">
        <v>381583</v>
      </c>
      <c r="I19" s="222">
        <f t="shared" ref="I19:O19" si="5">I17-I18</f>
        <v>307304.67331751727</v>
      </c>
      <c r="J19" s="222">
        <f t="shared" si="5"/>
        <v>301883.11469720467</v>
      </c>
      <c r="K19" s="222">
        <f t="shared" si="5"/>
        <v>296287.02841579076</v>
      </c>
      <c r="L19" s="222">
        <f t="shared" si="5"/>
        <v>307943.45428243768</v>
      </c>
      <c r="M19" s="222">
        <f t="shared" si="5"/>
        <v>320934.81039746321</v>
      </c>
      <c r="N19" s="222">
        <f t="shared" si="5"/>
        <v>340963.6240472325</v>
      </c>
      <c r="O19" s="222">
        <f t="shared" si="5"/>
        <v>363553.97627193952</v>
      </c>
      <c r="P19" s="185"/>
      <c r="Q19" s="184"/>
      <c r="R19" s="184"/>
      <c r="S19" s="184"/>
      <c r="T19" s="184"/>
      <c r="U19" s="184"/>
      <c r="V19" s="184"/>
    </row>
    <row r="20" spans="1:32" s="116" customFormat="1" ht="16.05" customHeight="1">
      <c r="A20" s="267"/>
      <c r="B20" s="213"/>
      <c r="C20" s="213"/>
      <c r="D20" s="213"/>
      <c r="E20" s="213"/>
      <c r="F20" s="213"/>
      <c r="G20" s="213"/>
      <c r="H20" s="228"/>
      <c r="I20" s="214"/>
      <c r="J20" s="214"/>
      <c r="K20" s="214"/>
      <c r="L20" s="214"/>
      <c r="M20" s="214"/>
      <c r="N20" s="214"/>
      <c r="O20" s="214"/>
      <c r="P20" s="185"/>
      <c r="Q20" s="184"/>
      <c r="R20" s="184"/>
      <c r="S20" s="184"/>
      <c r="T20" s="184"/>
      <c r="U20" s="184"/>
      <c r="V20" s="184"/>
    </row>
    <row r="21" spans="1:32" s="130" customFormat="1" ht="16.05" customHeight="1">
      <c r="A21" s="500" t="s">
        <v>13</v>
      </c>
      <c r="B21" s="215"/>
      <c r="C21" s="215"/>
      <c r="D21" s="215"/>
      <c r="E21" s="215"/>
      <c r="F21" s="215"/>
      <c r="G21" s="215"/>
      <c r="H21" s="229"/>
      <c r="I21" s="216"/>
      <c r="J21" s="216"/>
      <c r="K21" s="216"/>
      <c r="L21" s="216"/>
      <c r="M21" s="216"/>
      <c r="N21" s="216"/>
      <c r="O21" s="216"/>
      <c r="P21" s="183"/>
      <c r="Q21" s="182"/>
      <c r="R21" s="182"/>
      <c r="S21" s="182"/>
      <c r="T21" s="182"/>
      <c r="U21" s="182"/>
      <c r="V21" s="182"/>
    </row>
    <row r="22" spans="1:32" s="116" customFormat="1" ht="16.05" customHeight="1">
      <c r="A22" s="365" t="s">
        <v>14</v>
      </c>
      <c r="B22" s="211">
        <v>1.02</v>
      </c>
      <c r="C22" s="211">
        <v>1.1599999999999999</v>
      </c>
      <c r="D22" s="211">
        <v>2.25</v>
      </c>
      <c r="E22" s="211">
        <v>3.75</v>
      </c>
      <c r="F22" s="211">
        <v>6.07</v>
      </c>
      <c r="G22" s="211">
        <v>6.2</v>
      </c>
      <c r="H22" s="230">
        <v>8.51</v>
      </c>
      <c r="I22" s="207">
        <f t="shared" ref="I22:O22" si="6">I19/I24</f>
        <v>6.8792879791703179</v>
      </c>
      <c r="J22" s="207">
        <f t="shared" si="6"/>
        <v>6.7583754521627268</v>
      </c>
      <c r="K22" s="207">
        <f t="shared" si="6"/>
        <v>6.6484242884728095</v>
      </c>
      <c r="L22" s="207">
        <f t="shared" si="6"/>
        <v>6.9088991807062214</v>
      </c>
      <c r="M22" s="207">
        <f t="shared" si="6"/>
        <v>7.2149366125053556</v>
      </c>
      <c r="N22" s="207">
        <f t="shared" si="6"/>
        <v>7.6633093755699209</v>
      </c>
      <c r="O22" s="207">
        <f t="shared" si="6"/>
        <v>8.2057098808698683</v>
      </c>
      <c r="P22" s="185"/>
      <c r="Q22" s="184"/>
      <c r="R22" s="184"/>
      <c r="S22" s="184"/>
      <c r="T22" s="184"/>
      <c r="U22" s="184"/>
      <c r="V22" s="184"/>
    </row>
    <row r="23" spans="1:32" s="116" customFormat="1" ht="16.05" customHeight="1">
      <c r="A23" s="365" t="s">
        <v>15</v>
      </c>
      <c r="B23" s="211">
        <v>1.02</v>
      </c>
      <c r="C23" s="211">
        <v>1.1599999999999999</v>
      </c>
      <c r="D23" s="211">
        <v>2.2400000000000002</v>
      </c>
      <c r="E23" s="211">
        <v>3.72</v>
      </c>
      <c r="F23" s="211">
        <v>6.02</v>
      </c>
      <c r="G23" s="211">
        <v>6.14</v>
      </c>
      <c r="H23" s="230">
        <v>8.4499999999999993</v>
      </c>
      <c r="I23" s="207">
        <f t="shared" ref="I23:O23" si="7">I19/I25</f>
        <v>6.8060035727657082</v>
      </c>
      <c r="J23" s="207">
        <f t="shared" si="7"/>
        <v>6.6863743315954878</v>
      </c>
      <c r="K23" s="207">
        <f t="shared" si="7"/>
        <v>6.5774325892596623</v>
      </c>
      <c r="L23" s="207">
        <f t="shared" si="7"/>
        <v>6.8351375997699968</v>
      </c>
      <c r="M23" s="207">
        <f t="shared" si="7"/>
        <v>7.137753495039548</v>
      </c>
      <c r="N23" s="207">
        <f t="shared" si="7"/>
        <v>7.5813497586879643</v>
      </c>
      <c r="O23" s="207">
        <f t="shared" si="7"/>
        <v>8.1175808572308199</v>
      </c>
      <c r="P23" s="185"/>
      <c r="Q23" s="184"/>
      <c r="R23" s="184"/>
      <c r="S23" s="184"/>
      <c r="T23" s="184"/>
      <c r="U23" s="184"/>
      <c r="V23" s="184"/>
    </row>
    <row r="24" spans="1:32" s="116" customFormat="1" ht="16.05" customHeight="1">
      <c r="A24" s="365" t="s">
        <v>16</v>
      </c>
      <c r="B24" s="212">
        <v>50751</v>
      </c>
      <c r="C24" s="212">
        <v>50530</v>
      </c>
      <c r="D24" s="212">
        <v>50568</v>
      </c>
      <c r="E24" s="212">
        <v>51060</v>
      </c>
      <c r="F24" s="212">
        <v>47987</v>
      </c>
      <c r="G24" s="212">
        <v>45917</v>
      </c>
      <c r="H24" s="231">
        <v>44839</v>
      </c>
      <c r="I24" s="208">
        <f>44671</f>
        <v>44671</v>
      </c>
      <c r="J24" s="208">
        <v>44668</v>
      </c>
      <c r="K24" s="208">
        <v>44565</v>
      </c>
      <c r="L24" s="208">
        <v>44572</v>
      </c>
      <c r="M24" s="208">
        <v>44482</v>
      </c>
      <c r="N24" s="208">
        <v>44493</v>
      </c>
      <c r="O24" s="208">
        <v>44305</v>
      </c>
      <c r="P24" s="185"/>
      <c r="Q24" s="185"/>
      <c r="R24" s="185"/>
      <c r="S24" s="185"/>
      <c r="T24" s="185"/>
      <c r="U24" s="185"/>
      <c r="V24" s="184"/>
    </row>
    <row r="25" spans="1:32" s="116" customFormat="1" ht="16.05" customHeight="1">
      <c r="A25" s="365" t="s">
        <v>17</v>
      </c>
      <c r="B25" s="212">
        <v>50652</v>
      </c>
      <c r="C25" s="212">
        <v>50636</v>
      </c>
      <c r="D25" s="212">
        <v>50795</v>
      </c>
      <c r="E25" s="212">
        <v>50700</v>
      </c>
      <c r="F25" s="212">
        <v>47648</v>
      </c>
      <c r="G25" s="212">
        <v>45446</v>
      </c>
      <c r="H25" s="231">
        <v>44508</v>
      </c>
      <c r="I25" s="208">
        <f t="shared" ref="I25:O25" si="8">I24+481</f>
        <v>45152</v>
      </c>
      <c r="J25" s="208">
        <f t="shared" si="8"/>
        <v>45149</v>
      </c>
      <c r="K25" s="208">
        <f t="shared" si="8"/>
        <v>45046</v>
      </c>
      <c r="L25" s="208">
        <f t="shared" si="8"/>
        <v>45053</v>
      </c>
      <c r="M25" s="208">
        <f t="shared" si="8"/>
        <v>44963</v>
      </c>
      <c r="N25" s="208">
        <f t="shared" si="8"/>
        <v>44974</v>
      </c>
      <c r="O25" s="208">
        <f t="shared" si="8"/>
        <v>44786</v>
      </c>
      <c r="P25" s="185"/>
      <c r="Q25" s="185"/>
      <c r="R25" s="185"/>
      <c r="S25" s="185"/>
      <c r="T25" s="185"/>
      <c r="U25" s="185"/>
      <c r="V25" s="184"/>
    </row>
    <row r="26" spans="1:32" s="36" customFormat="1" ht="16.05" customHeight="1">
      <c r="A26" s="268"/>
      <c r="B26" s="189"/>
      <c r="C26" s="189"/>
      <c r="D26" s="189"/>
      <c r="E26" s="189"/>
      <c r="F26" s="189"/>
      <c r="G26" s="189"/>
      <c r="H26" s="189"/>
      <c r="I26" s="189"/>
      <c r="J26" s="189"/>
      <c r="K26" s="189"/>
      <c r="L26" s="189"/>
      <c r="M26" s="189"/>
      <c r="N26" s="189"/>
      <c r="O26" s="189"/>
      <c r="P26" s="190"/>
      <c r="Q26" s="181"/>
      <c r="R26" s="181"/>
      <c r="S26" s="181"/>
      <c r="T26" s="181"/>
      <c r="U26" s="181"/>
      <c r="V26" s="181"/>
    </row>
    <row r="27" spans="1:32" s="36" customFormat="1" ht="16.05" customHeight="1">
      <c r="A27" s="268"/>
      <c r="B27" s="189"/>
      <c r="C27" s="189"/>
      <c r="D27" s="189"/>
      <c r="E27" s="189"/>
      <c r="F27" s="189"/>
      <c r="G27" s="189"/>
      <c r="H27" s="189"/>
      <c r="I27" s="189"/>
      <c r="J27" s="189"/>
      <c r="K27" s="189"/>
      <c r="L27" s="189"/>
      <c r="M27" s="189"/>
      <c r="N27" s="189"/>
      <c r="O27" s="189"/>
      <c r="P27" s="190"/>
      <c r="Q27" s="181"/>
      <c r="R27" s="181"/>
      <c r="S27" s="181"/>
      <c r="T27" s="181"/>
      <c r="U27" s="181"/>
      <c r="V27" s="181"/>
    </row>
    <row r="28" spans="1:32" ht="16.05" customHeight="1">
      <c r="A28" s="269"/>
      <c r="G28" s="202"/>
      <c r="H28" s="202"/>
    </row>
    <row r="29" spans="1:32" ht="16.05" customHeight="1">
      <c r="A29" s="232" t="s">
        <v>388</v>
      </c>
      <c r="B29" s="243">
        <v>2018</v>
      </c>
      <c r="C29" s="243">
        <v>2019</v>
      </c>
      <c r="D29" s="243">
        <v>2020</v>
      </c>
      <c r="E29" s="243">
        <v>2021</v>
      </c>
      <c r="F29" s="243">
        <v>2022</v>
      </c>
      <c r="G29" s="243">
        <v>2023</v>
      </c>
      <c r="H29" s="243">
        <v>2024</v>
      </c>
      <c r="I29" s="243">
        <v>2025</v>
      </c>
      <c r="J29" s="243" t="s">
        <v>60</v>
      </c>
      <c r="K29" s="243" t="s">
        <v>61</v>
      </c>
      <c r="L29" s="243" t="s">
        <v>62</v>
      </c>
      <c r="M29" s="243" t="s">
        <v>63</v>
      </c>
      <c r="N29" s="243" t="s">
        <v>64</v>
      </c>
      <c r="O29" s="243" t="s">
        <v>65</v>
      </c>
    </row>
    <row r="30" spans="1:32" ht="16.05" customHeight="1">
      <c r="A30" s="365" t="s">
        <v>379</v>
      </c>
      <c r="B30" s="233">
        <v>635</v>
      </c>
      <c r="C30" s="233">
        <v>907</v>
      </c>
      <c r="D30" s="233">
        <v>1545</v>
      </c>
      <c r="E30" s="233">
        <v>2036</v>
      </c>
      <c r="F30" s="233">
        <v>2030</v>
      </c>
      <c r="G30" s="233">
        <v>2234</v>
      </c>
      <c r="H30" s="233">
        <v>2722.4858343995611</v>
      </c>
      <c r="I30" s="246">
        <f t="shared" ref="I30:O31" si="9">H30*(1+I36)</f>
        <v>2858.6101261195395</v>
      </c>
      <c r="J30" s="238">
        <f t="shared" si="9"/>
        <v>3001.5406324255164</v>
      </c>
      <c r="K30" s="238">
        <f t="shared" si="9"/>
        <v>3241.6638830195579</v>
      </c>
      <c r="L30" s="238">
        <f t="shared" si="9"/>
        <v>3500.9969936611228</v>
      </c>
      <c r="M30" s="238">
        <f t="shared" si="9"/>
        <v>3781.0767531540127</v>
      </c>
      <c r="N30" s="238">
        <f t="shared" si="9"/>
        <v>4026.8467421090236</v>
      </c>
      <c r="O30" s="238">
        <f t="shared" si="9"/>
        <v>4228.189079214475</v>
      </c>
    </row>
    <row r="31" spans="1:32" ht="16.05" customHeight="1">
      <c r="A31" s="365" t="s">
        <v>381</v>
      </c>
      <c r="B31" s="233">
        <v>770</v>
      </c>
      <c r="C31" s="233">
        <v>902</v>
      </c>
      <c r="D31" s="233">
        <v>788</v>
      </c>
      <c r="E31" s="233">
        <v>798</v>
      </c>
      <c r="F31" s="233">
        <v>991</v>
      </c>
      <c r="G31" s="233">
        <v>906</v>
      </c>
      <c r="H31" s="233">
        <v>1060.5141656004389</v>
      </c>
      <c r="I31" s="246">
        <f t="shared" si="9"/>
        <v>1113.5398738804608</v>
      </c>
      <c r="J31" s="238">
        <f t="shared" si="9"/>
        <v>1169.216867574484</v>
      </c>
      <c r="K31" s="238">
        <f t="shared" si="9"/>
        <v>1227.6777109532084</v>
      </c>
      <c r="L31" s="238">
        <f t="shared" si="9"/>
        <v>1276.7848193913367</v>
      </c>
      <c r="M31" s="238">
        <f t="shared" si="9"/>
        <v>1327.8562121669902</v>
      </c>
      <c r="N31" s="238">
        <f t="shared" si="9"/>
        <v>1367.6918985319999</v>
      </c>
      <c r="O31" s="238">
        <f t="shared" si="9"/>
        <v>1408.7226554879599</v>
      </c>
    </row>
    <row r="32" spans="1:32" ht="16.05" customHeight="1">
      <c r="A32" s="270" t="s">
        <v>380</v>
      </c>
      <c r="B32" s="199">
        <f t="shared" ref="B32:G32" si="10">SUM(B30:B31)</f>
        <v>1405</v>
      </c>
      <c r="C32" s="199">
        <f t="shared" si="10"/>
        <v>1809</v>
      </c>
      <c r="D32" s="199">
        <f t="shared" si="10"/>
        <v>2333</v>
      </c>
      <c r="E32" s="199">
        <f t="shared" si="10"/>
        <v>2834</v>
      </c>
      <c r="F32" s="199">
        <f t="shared" si="10"/>
        <v>3021</v>
      </c>
      <c r="G32" s="199">
        <f t="shared" si="10"/>
        <v>3140</v>
      </c>
      <c r="H32" s="199">
        <f>SUM(H30:H31)</f>
        <v>3783</v>
      </c>
      <c r="I32" s="247">
        <f>SUM(I30:I31)</f>
        <v>3972.1500000000005</v>
      </c>
      <c r="J32" s="244">
        <f t="shared" ref="J32:O32" si="11">SUM(J30:J31)</f>
        <v>4170.7575000000006</v>
      </c>
      <c r="K32" s="244">
        <f t="shared" si="11"/>
        <v>4469.3415939727665</v>
      </c>
      <c r="L32" s="244">
        <f t="shared" si="11"/>
        <v>4777.7818130524593</v>
      </c>
      <c r="M32" s="244">
        <f t="shared" si="11"/>
        <v>5108.9329653210025</v>
      </c>
      <c r="N32" s="244">
        <f t="shared" si="11"/>
        <v>5394.5386406410234</v>
      </c>
      <c r="O32" s="244">
        <f t="shared" si="11"/>
        <v>5636.9117347024348</v>
      </c>
    </row>
    <row r="33" spans="1:22" ht="16.05" customHeight="1">
      <c r="A33" s="365" t="s">
        <v>378</v>
      </c>
      <c r="B33" s="234">
        <v>443800</v>
      </c>
      <c r="C33" s="234">
        <v>437600</v>
      </c>
      <c r="D33" s="234">
        <v>418400</v>
      </c>
      <c r="E33" s="234">
        <v>460700</v>
      </c>
      <c r="F33" s="234">
        <v>581900</v>
      </c>
      <c r="G33" s="234">
        <v>566100</v>
      </c>
      <c r="H33" s="234">
        <v>547100</v>
      </c>
      <c r="I33" s="248">
        <v>527000</v>
      </c>
      <c r="J33" s="239">
        <v>505000</v>
      </c>
      <c r="K33" s="239">
        <v>480000</v>
      </c>
      <c r="L33" s="239">
        <v>485000.00000000006</v>
      </c>
      <c r="M33" s="239">
        <v>487000.00000000006</v>
      </c>
      <c r="N33" s="239">
        <v>490000</v>
      </c>
      <c r="O33" s="239">
        <v>500000</v>
      </c>
    </row>
    <row r="34" spans="1:22" ht="16.05" customHeight="1">
      <c r="A34" s="270" t="s">
        <v>375</v>
      </c>
      <c r="B34" s="198">
        <f>(B32*B33)/1000</f>
        <v>623539</v>
      </c>
      <c r="C34" s="198">
        <f t="shared" ref="C34:D34" si="12">(C32*C33)/1000</f>
        <v>791618.4</v>
      </c>
      <c r="D34" s="198">
        <f t="shared" si="12"/>
        <v>976127.2</v>
      </c>
      <c r="E34" s="198">
        <f t="shared" ref="E34" si="13">(E32*E33)/1000</f>
        <v>1305623.8</v>
      </c>
      <c r="F34" s="198">
        <f t="shared" ref="F34" si="14">(F32*F33)/1000</f>
        <v>1757919.9</v>
      </c>
      <c r="G34" s="198">
        <f t="shared" ref="G34" si="15">(G32*G33)/1000</f>
        <v>1777554</v>
      </c>
      <c r="H34" s="198">
        <f t="shared" ref="H34" si="16">(H32*H33)/1000</f>
        <v>2069679.3</v>
      </c>
      <c r="I34" s="249">
        <f>(I32*I33)/1000</f>
        <v>2093323.0500000003</v>
      </c>
      <c r="J34" s="242">
        <f t="shared" ref="J34:O34" si="17">(J32*J33)/1000</f>
        <v>2106232.5375000001</v>
      </c>
      <c r="K34" s="242">
        <f t="shared" si="17"/>
        <v>2145283.9651069278</v>
      </c>
      <c r="L34" s="242">
        <f t="shared" si="17"/>
        <v>2317224.179330443</v>
      </c>
      <c r="M34" s="242">
        <f t="shared" si="17"/>
        <v>2488050.3541113287</v>
      </c>
      <c r="N34" s="242">
        <f t="shared" si="17"/>
        <v>2643323.9339141017</v>
      </c>
      <c r="O34" s="242">
        <f t="shared" si="17"/>
        <v>2818455.8673512172</v>
      </c>
    </row>
    <row r="35" spans="1:22" ht="16.05" customHeight="1">
      <c r="A35" s="271"/>
      <c r="B35" s="235"/>
      <c r="C35" s="235"/>
      <c r="D35" s="235"/>
      <c r="E35" s="235"/>
      <c r="F35" s="235"/>
      <c r="G35" s="235"/>
      <c r="H35" s="235"/>
      <c r="I35" s="250"/>
      <c r="J35" s="240"/>
      <c r="K35" s="240"/>
      <c r="L35" s="240"/>
      <c r="M35" s="240"/>
      <c r="N35" s="240"/>
      <c r="O35" s="240"/>
    </row>
    <row r="36" spans="1:22" ht="16.05" customHeight="1">
      <c r="A36" s="365" t="s">
        <v>382</v>
      </c>
      <c r="B36" s="237"/>
      <c r="C36" s="237">
        <f>(C30-B30)/B30</f>
        <v>0.42834645669291338</v>
      </c>
      <c r="D36" s="237">
        <f t="shared" ref="D36:H36" si="18">(D30-C30)/C30</f>
        <v>0.7034178610804851</v>
      </c>
      <c r="E36" s="237">
        <f t="shared" si="18"/>
        <v>0.31779935275080906</v>
      </c>
      <c r="F36" s="237">
        <f t="shared" si="18"/>
        <v>-2.9469548133595285E-3</v>
      </c>
      <c r="G36" s="237">
        <f t="shared" si="18"/>
        <v>0.10049261083743842</v>
      </c>
      <c r="H36" s="237">
        <f t="shared" si="18"/>
        <v>0.21865972891654481</v>
      </c>
      <c r="I36" s="251">
        <v>0.05</v>
      </c>
      <c r="J36" s="263">
        <v>0.05</v>
      </c>
      <c r="K36" s="263">
        <v>0.08</v>
      </c>
      <c r="L36" s="263">
        <v>0.08</v>
      </c>
      <c r="M36" s="263">
        <v>0.08</v>
      </c>
      <c r="N36" s="263">
        <v>6.5000000000000002E-2</v>
      </c>
      <c r="O36" s="263">
        <v>0.05</v>
      </c>
    </row>
    <row r="37" spans="1:22" ht="16.05" customHeight="1">
      <c r="A37" s="365" t="s">
        <v>383</v>
      </c>
      <c r="B37" s="237"/>
      <c r="C37" s="237">
        <f>(C31-B31)/B31</f>
        <v>0.17142857142857143</v>
      </c>
      <c r="D37" s="237">
        <f t="shared" ref="D37:H37" si="19">(D31-C31)/C31</f>
        <v>-0.12638580931263857</v>
      </c>
      <c r="E37" s="237">
        <f t="shared" si="19"/>
        <v>1.2690355329949238E-2</v>
      </c>
      <c r="F37" s="237">
        <f t="shared" si="19"/>
        <v>0.24185463659147868</v>
      </c>
      <c r="G37" s="237">
        <f t="shared" si="19"/>
        <v>-8.5771947527749748E-2</v>
      </c>
      <c r="H37" s="237">
        <f t="shared" si="19"/>
        <v>0.17054543664507604</v>
      </c>
      <c r="I37" s="251">
        <v>0.05</v>
      </c>
      <c r="J37" s="263">
        <v>0.05</v>
      </c>
      <c r="K37" s="263">
        <v>0.05</v>
      </c>
      <c r="L37" s="263">
        <v>0.04</v>
      </c>
      <c r="M37" s="263">
        <v>0.04</v>
      </c>
      <c r="N37" s="263">
        <v>0.03</v>
      </c>
      <c r="O37" s="263">
        <v>0.03</v>
      </c>
    </row>
    <row r="38" spans="1:22" ht="16.05" customHeight="1">
      <c r="A38" s="270" t="s">
        <v>384</v>
      </c>
      <c r="B38" s="198"/>
      <c r="C38" s="254">
        <f>(C32-B32)/B32</f>
        <v>0.2875444839857651</v>
      </c>
      <c r="D38" s="254">
        <f t="shared" ref="D38:O38" si="20">(D32-C32)/C32</f>
        <v>0.28966279712548371</v>
      </c>
      <c r="E38" s="254">
        <f t="shared" si="20"/>
        <v>0.21474496356622375</v>
      </c>
      <c r="F38" s="254">
        <f t="shared" si="20"/>
        <v>6.5984474241354979E-2</v>
      </c>
      <c r="G38" s="254">
        <f t="shared" si="20"/>
        <v>3.9390930155577625E-2</v>
      </c>
      <c r="H38" s="254">
        <f t="shared" si="20"/>
        <v>0.20477707006369428</v>
      </c>
      <c r="I38" s="260">
        <f t="shared" si="20"/>
        <v>5.0000000000000142E-2</v>
      </c>
      <c r="J38" s="255">
        <f t="shared" si="20"/>
        <v>5.000000000000001E-2</v>
      </c>
      <c r="K38" s="255">
        <f t="shared" si="20"/>
        <v>7.1589895593969652E-2</v>
      </c>
      <c r="L38" s="255">
        <f t="shared" si="20"/>
        <v>6.9012451296102964E-2</v>
      </c>
      <c r="M38" s="255">
        <f t="shared" si="20"/>
        <v>6.9310647749520254E-2</v>
      </c>
      <c r="N38" s="255">
        <f t="shared" si="20"/>
        <v>5.5903194905607044E-2</v>
      </c>
      <c r="O38" s="255">
        <f t="shared" si="20"/>
        <v>4.4929346179010891E-2</v>
      </c>
    </row>
    <row r="39" spans="1:22" ht="16.05" customHeight="1">
      <c r="A39" s="365" t="s">
        <v>385</v>
      </c>
      <c r="B39" s="235"/>
      <c r="C39" s="237">
        <f>(C33-B33)/B33</f>
        <v>-1.3970256872465074E-2</v>
      </c>
      <c r="D39" s="237">
        <f t="shared" ref="D39:O39" si="21">(D33-C33)/C33</f>
        <v>-4.3875685557586835E-2</v>
      </c>
      <c r="E39" s="237">
        <f t="shared" si="21"/>
        <v>0.10109942638623327</v>
      </c>
      <c r="F39" s="237">
        <f t="shared" si="21"/>
        <v>0.26307792489689602</v>
      </c>
      <c r="G39" s="237">
        <f t="shared" si="21"/>
        <v>-2.7152431689293693E-2</v>
      </c>
      <c r="H39" s="237">
        <f t="shared" si="21"/>
        <v>-3.3562974739445327E-2</v>
      </c>
      <c r="I39" s="251">
        <f t="shared" si="21"/>
        <v>-3.6739170169987206E-2</v>
      </c>
      <c r="J39" s="263">
        <f t="shared" si="21"/>
        <v>-4.1745730550284632E-2</v>
      </c>
      <c r="K39" s="263">
        <f t="shared" si="21"/>
        <v>-4.9504950495049507E-2</v>
      </c>
      <c r="L39" s="263">
        <f t="shared" si="21"/>
        <v>1.0416666666666788E-2</v>
      </c>
      <c r="M39" s="263">
        <f t="shared" si="21"/>
        <v>4.1237113402061848E-3</v>
      </c>
      <c r="N39" s="263">
        <f t="shared" si="21"/>
        <v>6.1601642710471076E-3</v>
      </c>
      <c r="O39" s="263">
        <f t="shared" si="21"/>
        <v>2.0408163265306121E-2</v>
      </c>
    </row>
    <row r="40" spans="1:22" ht="16.05" customHeight="1">
      <c r="A40" s="270" t="s">
        <v>386</v>
      </c>
      <c r="B40" s="198"/>
      <c r="C40" s="254">
        <f>(C34-B34)/B34</f>
        <v>0.2695571568097585</v>
      </c>
      <c r="D40" s="254">
        <f t="shared" ref="D40:O40" si="22">(D34-C34)/C34</f>
        <v>0.23307795776348797</v>
      </c>
      <c r="E40" s="254">
        <f t="shared" si="22"/>
        <v>0.33755498258833488</v>
      </c>
      <c r="F40" s="254">
        <f t="shared" si="22"/>
        <v>0.34642145769707922</v>
      </c>
      <c r="G40" s="254">
        <f t="shared" si="22"/>
        <v>1.1168938926056924E-2</v>
      </c>
      <c r="H40" s="254">
        <f t="shared" si="22"/>
        <v>0.16434116769448356</v>
      </c>
      <c r="I40" s="260">
        <f t="shared" si="22"/>
        <v>1.1423871321513547E-2</v>
      </c>
      <c r="J40" s="255">
        <f t="shared" si="22"/>
        <v>6.1669829222010487E-3</v>
      </c>
      <c r="K40" s="255">
        <f t="shared" si="22"/>
        <v>1.8540890861594952E-2</v>
      </c>
      <c r="L40" s="255">
        <f t="shared" si="22"/>
        <v>8.0147997663770912E-2</v>
      </c>
      <c r="M40" s="255">
        <f t="shared" si="22"/>
        <v>7.3720176193848255E-2</v>
      </c>
      <c r="N40" s="255">
        <f t="shared" si="22"/>
        <v>6.2407732040549044E-2</v>
      </c>
      <c r="O40" s="255">
        <f t="shared" si="22"/>
        <v>6.6254434876541562E-2</v>
      </c>
    </row>
    <row r="41" spans="1:22" ht="16.05" customHeight="1">
      <c r="A41" s="271"/>
      <c r="B41" s="235"/>
      <c r="C41" s="252"/>
      <c r="D41" s="252"/>
      <c r="E41" s="252"/>
      <c r="F41" s="252"/>
      <c r="G41" s="252"/>
      <c r="H41" s="252"/>
      <c r="I41" s="261"/>
      <c r="J41" s="253"/>
      <c r="K41" s="253"/>
      <c r="L41" s="253"/>
      <c r="M41" s="253"/>
      <c r="N41" s="253"/>
      <c r="O41" s="253"/>
    </row>
    <row r="42" spans="1:22" ht="16.05" customHeight="1">
      <c r="A42" s="365" t="s">
        <v>69</v>
      </c>
      <c r="B42" s="197">
        <f t="shared" ref="B42:H42" si="23">B9/B5</f>
        <v>0.20898040077159033</v>
      </c>
      <c r="C42" s="197">
        <f t="shared" si="23"/>
        <v>0.21357906171841448</v>
      </c>
      <c r="D42" s="197">
        <f t="shared" si="23"/>
        <v>0.24036777897196884</v>
      </c>
      <c r="E42" s="197">
        <f t="shared" si="23"/>
        <v>0.25808339439836453</v>
      </c>
      <c r="F42" s="197">
        <f t="shared" si="23"/>
        <v>0.29754641189264036</v>
      </c>
      <c r="G42" s="197">
        <f t="shared" si="23"/>
        <v>0.30836413138250895</v>
      </c>
      <c r="H42" s="236">
        <f t="shared" si="23"/>
        <v>0.33517870661566324</v>
      </c>
      <c r="I42" s="262">
        <v>0.316</v>
      </c>
      <c r="J42" s="263">
        <v>0.3</v>
      </c>
      <c r="K42" s="263">
        <v>0.28999999999999998</v>
      </c>
      <c r="L42" s="263">
        <v>0.28000000000000003</v>
      </c>
      <c r="M42" s="263">
        <f>'Common Inc. Stmt.'!$B$9</f>
        <v>0.27226248571889383</v>
      </c>
      <c r="N42" s="263">
        <f>'Common Inc. Stmt.'!$B$9</f>
        <v>0.27226248571889383</v>
      </c>
      <c r="O42" s="263">
        <f>'Common Inc. Stmt.'!$B$9</f>
        <v>0.27226248571889383</v>
      </c>
    </row>
    <row r="43" spans="1:22" ht="16.05" customHeight="1">
      <c r="A43" s="365" t="s">
        <v>68</v>
      </c>
      <c r="B43" s="236">
        <f>(B15+'Cash Flow Stmt.'!B5)/B5</f>
        <v>0.13567611164649232</v>
      </c>
      <c r="C43" s="236">
        <f>(C15+'Cash Flow Stmt.'!C5)/C5</f>
        <v>0.11041103504029508</v>
      </c>
      <c r="D43" s="236">
        <f>(D15+'Cash Flow Stmt.'!D5)/D5</f>
        <v>0.15007771349182036</v>
      </c>
      <c r="E43" s="236">
        <f>(E15+'Cash Flow Stmt.'!E5)/E5</f>
        <v>0.18514109586306987</v>
      </c>
      <c r="F43" s="236">
        <f>(F15+'Cash Flow Stmt.'!F5)/F5</f>
        <v>0.22689361033978403</v>
      </c>
      <c r="G43" s="236">
        <f>(G15+'Cash Flow Stmt.'!G5)/G5</f>
        <v>0.22211609317605233</v>
      </c>
      <c r="H43" s="236">
        <f>(H15+'Cash Flow Stmt.'!H5)/H5</f>
        <v>0.24619963476854778</v>
      </c>
      <c r="I43" s="262">
        <f>(I15+'Cash Flow Stmt.'!I5)/I5</f>
        <v>0.20978840559929349</v>
      </c>
      <c r="J43" s="241">
        <f>(J15+'Cash Flow Stmt.'!J5)/J5</f>
        <v>0.2052746584616815</v>
      </c>
      <c r="K43" s="241">
        <f>(K15+'Cash Flow Stmt.'!K5)/K5</f>
        <v>0.19849511669960149</v>
      </c>
      <c r="L43" s="241">
        <f>(L15+'Cash Flow Stmt.'!L5)/L5</f>
        <v>0.19171557493752248</v>
      </c>
      <c r="M43" s="241">
        <f>(M15+'Cash Flow Stmt.'!M5)/M5</f>
        <v>0.1866444859094725</v>
      </c>
      <c r="N43" s="241">
        <f>(N15+'Cash Flow Stmt.'!N5)/N5</f>
        <v>0.18664448590947247</v>
      </c>
      <c r="O43" s="241">
        <f>(O15+'Cash Flow Stmt.'!O5)/O5</f>
        <v>0.18664448590947247</v>
      </c>
    </row>
    <row r="44" spans="1:22" ht="16.05" customHeight="1">
      <c r="A44" s="365" t="s">
        <v>70</v>
      </c>
      <c r="B44" s="236">
        <f t="shared" ref="B44:G44" si="24">(B9-B10)/B5</f>
        <v>0.11785513279146696</v>
      </c>
      <c r="C44" s="236">
        <f t="shared" si="24"/>
        <v>8.8956117525200218E-2</v>
      </c>
      <c r="D44" s="236">
        <f t="shared" si="24"/>
        <v>0.12547885752458196</v>
      </c>
      <c r="E44" s="236">
        <f t="shared" si="24"/>
        <v>0.16237358112905204</v>
      </c>
      <c r="F44" s="236">
        <f t="shared" si="24"/>
        <v>0.20428002614642338</v>
      </c>
      <c r="G44" s="236">
        <f t="shared" si="24"/>
        <v>0.19981043027265413</v>
      </c>
      <c r="H44" s="236">
        <f>(H9-H10)/H5</f>
        <v>0.22723580392607137</v>
      </c>
      <c r="I44" s="262">
        <v>0.2079</v>
      </c>
      <c r="J44" s="263">
        <v>0.20338625286238801</v>
      </c>
      <c r="K44" s="263">
        <v>0.196606711100308</v>
      </c>
      <c r="L44" s="263">
        <v>0.18982716933822899</v>
      </c>
      <c r="M44" s="263">
        <v>0.18475608031017901</v>
      </c>
      <c r="N44" s="263">
        <v>0.18475608031017901</v>
      </c>
      <c r="O44" s="263">
        <v>0.18475608031017901</v>
      </c>
    </row>
    <row r="45" spans="1:22" ht="16.05" customHeight="1">
      <c r="A45" s="272"/>
      <c r="B45" s="106"/>
      <c r="C45" s="106"/>
      <c r="D45" s="106"/>
      <c r="E45" s="106"/>
      <c r="F45" s="106"/>
      <c r="G45" s="106"/>
      <c r="H45" s="106"/>
      <c r="I45" s="201"/>
      <c r="J45" s="106"/>
      <c r="K45" s="106"/>
      <c r="L45" s="106"/>
      <c r="M45" s="106"/>
      <c r="N45" s="106"/>
      <c r="O45" s="191"/>
      <c r="P45" s="106"/>
      <c r="Q45" s="106"/>
      <c r="R45" s="106"/>
      <c r="S45" s="106"/>
      <c r="T45" s="106"/>
      <c r="U45" s="106"/>
      <c r="V45" s="106"/>
    </row>
    <row r="46" spans="1:22" ht="16.05" customHeight="1">
      <c r="A46" s="272"/>
      <c r="B46" s="106"/>
      <c r="C46" s="106"/>
      <c r="D46" s="106"/>
      <c r="E46" s="106"/>
      <c r="F46" s="106"/>
      <c r="G46" s="106"/>
      <c r="H46" s="106"/>
      <c r="I46" s="106"/>
      <c r="J46" s="106"/>
      <c r="K46" s="106"/>
      <c r="L46" s="106"/>
      <c r="M46" s="106"/>
      <c r="N46" s="191"/>
      <c r="O46" s="191"/>
      <c r="P46" s="106"/>
      <c r="Q46" s="106"/>
      <c r="R46" s="106"/>
      <c r="S46" s="106"/>
      <c r="T46" s="106"/>
      <c r="U46" s="106"/>
      <c r="V46" s="106"/>
    </row>
    <row r="47" spans="1:22" ht="16.05" customHeight="1">
      <c r="A47" s="272"/>
      <c r="B47" s="106"/>
      <c r="C47" s="106"/>
      <c r="D47" s="106"/>
      <c r="E47" s="106"/>
      <c r="F47" s="106"/>
      <c r="G47" s="106"/>
      <c r="H47" s="106"/>
      <c r="I47" s="106"/>
      <c r="J47" s="106"/>
      <c r="K47" s="106"/>
      <c r="L47" s="106"/>
      <c r="M47" s="106"/>
      <c r="N47" s="106"/>
      <c r="O47" s="106"/>
      <c r="P47" s="106"/>
      <c r="Q47" s="106"/>
      <c r="R47" s="106"/>
      <c r="S47" s="106"/>
      <c r="T47" s="106"/>
      <c r="U47" s="106"/>
      <c r="V47" s="106"/>
    </row>
    <row r="48" spans="1:22" ht="16.05" customHeight="1">
      <c r="A48" s="272"/>
      <c r="B48" s="106"/>
      <c r="C48" s="106"/>
      <c r="D48" s="106"/>
      <c r="E48" s="106"/>
      <c r="F48" s="106"/>
      <c r="G48" s="106"/>
      <c r="H48" s="106"/>
      <c r="I48" s="106"/>
      <c r="J48" s="106"/>
      <c r="K48" s="106"/>
      <c r="L48" s="106"/>
      <c r="M48" s="106"/>
      <c r="N48" s="106"/>
      <c r="O48" s="106"/>
      <c r="P48" s="106"/>
      <c r="Q48" s="106"/>
      <c r="R48" s="106"/>
      <c r="S48" s="106"/>
      <c r="T48" s="106"/>
      <c r="U48" s="106"/>
      <c r="V48" s="106"/>
    </row>
    <row r="49" spans="1:22" ht="16.05" customHeight="1">
      <c r="A49" s="232" t="s">
        <v>389</v>
      </c>
      <c r="B49" s="232"/>
      <c r="P49" s="106"/>
      <c r="Q49" s="106"/>
      <c r="R49" s="106"/>
      <c r="S49" s="106"/>
      <c r="T49" s="106"/>
      <c r="U49" s="106"/>
      <c r="V49" s="106"/>
    </row>
    <row r="50" spans="1:22" ht="16.05" customHeight="1">
      <c r="A50" s="365" t="s">
        <v>503</v>
      </c>
      <c r="B50" s="257">
        <f>(I32/E32)^(1/4)-1</f>
        <v>8.8069028939880889E-2</v>
      </c>
      <c r="P50" s="106"/>
      <c r="Q50" s="106"/>
      <c r="R50" s="106"/>
      <c r="S50" s="106"/>
      <c r="T50" s="106"/>
      <c r="U50" s="106"/>
      <c r="V50" s="106"/>
    </row>
    <row r="51" spans="1:22" ht="16.05" customHeight="1">
      <c r="A51" s="365" t="s">
        <v>502</v>
      </c>
      <c r="B51" s="257">
        <f>(O32/I32)^(1/6)-1</f>
        <v>6.0073388497202229E-2</v>
      </c>
      <c r="C51" s="203"/>
      <c r="L51" s="106"/>
      <c r="M51" s="106"/>
      <c r="N51" s="106"/>
      <c r="O51" s="106"/>
      <c r="P51" s="106"/>
      <c r="Q51" s="106"/>
      <c r="R51" s="106"/>
      <c r="S51" s="106"/>
      <c r="T51" s="106"/>
      <c r="U51" s="106"/>
      <c r="V51" s="106"/>
    </row>
    <row r="52" spans="1:22" ht="16.05" customHeight="1">
      <c r="A52" s="365" t="s">
        <v>366</v>
      </c>
      <c r="B52" s="257">
        <f>(O33/I33)^(1/6)-1</f>
        <v>-8.7271041603954602E-3</v>
      </c>
      <c r="C52" s="203"/>
      <c r="L52" s="106"/>
      <c r="M52" s="106"/>
      <c r="N52" s="106"/>
      <c r="O52" s="106"/>
      <c r="P52" s="106"/>
      <c r="Q52" s="106"/>
      <c r="R52" s="106"/>
      <c r="S52" s="106"/>
      <c r="T52" s="106"/>
      <c r="U52" s="106"/>
      <c r="V52" s="106"/>
    </row>
    <row r="53" spans="1:22" ht="16.05" customHeight="1">
      <c r="A53" s="365" t="s">
        <v>367</v>
      </c>
      <c r="B53" s="258">
        <f>(O5/I5)^(1/6)-1</f>
        <v>5.0822017618123771E-2</v>
      </c>
      <c r="C53" s="196"/>
      <c r="D53" s="106"/>
      <c r="E53" s="106"/>
      <c r="F53" s="106"/>
      <c r="G53" s="106"/>
      <c r="H53" s="106"/>
      <c r="I53" s="106"/>
      <c r="J53" s="106"/>
      <c r="K53" s="106"/>
      <c r="L53" s="106"/>
      <c r="M53" s="106"/>
      <c r="N53" s="106"/>
      <c r="O53" s="106"/>
      <c r="P53" s="106"/>
      <c r="Q53" s="106"/>
      <c r="R53" s="106"/>
      <c r="S53" s="106"/>
      <c r="T53" s="106"/>
      <c r="U53" s="106"/>
      <c r="V53" s="106"/>
    </row>
    <row r="54" spans="1:22" ht="16.05" customHeight="1">
      <c r="A54" s="365" t="s">
        <v>368</v>
      </c>
      <c r="B54" s="257">
        <f>(O8/I8)^(1/6)-1</f>
        <v>6.1733712493655446E-2</v>
      </c>
      <c r="C54" s="203"/>
      <c r="E54" s="106"/>
      <c r="F54" s="106"/>
      <c r="G54" s="106"/>
      <c r="H54" s="106"/>
      <c r="I54" s="106"/>
      <c r="J54" s="106"/>
      <c r="K54" s="106"/>
      <c r="L54" s="106"/>
      <c r="M54" s="106"/>
      <c r="N54" s="106"/>
      <c r="O54" s="106"/>
      <c r="P54" s="106"/>
      <c r="Q54" s="106"/>
      <c r="R54" s="106"/>
      <c r="S54" s="106"/>
      <c r="T54" s="106"/>
      <c r="U54" s="106"/>
      <c r="V54" s="106"/>
    </row>
    <row r="55" spans="1:22" ht="16.05" customHeight="1">
      <c r="A55" s="365" t="s">
        <v>369</v>
      </c>
      <c r="B55" s="257">
        <f>(O10/I10)^(1/6)-1</f>
        <v>1.4452045691486948E-2</v>
      </c>
      <c r="C55" s="203"/>
      <c r="E55" s="106"/>
      <c r="F55" s="106"/>
      <c r="G55" s="106"/>
      <c r="H55" s="106"/>
      <c r="I55" s="106"/>
      <c r="J55" s="106"/>
      <c r="K55" s="106"/>
      <c r="L55" s="106"/>
      <c r="M55" s="106"/>
      <c r="N55" s="106"/>
      <c r="O55" s="106"/>
      <c r="P55" s="106"/>
      <c r="Q55" s="106"/>
      <c r="R55" s="106"/>
      <c r="S55" s="106"/>
      <c r="T55" s="106"/>
      <c r="U55" s="106"/>
      <c r="V55" s="106"/>
    </row>
    <row r="56" spans="1:22" ht="16.05" customHeight="1">
      <c r="A56" s="365" t="s">
        <v>370</v>
      </c>
      <c r="B56" s="257">
        <f>('Bal. Sheet'!O6/'Bal. Sheet'!I6)^(1/6)-1</f>
        <v>5.0126038148108787E-2</v>
      </c>
      <c r="C56" s="203"/>
      <c r="E56" s="106"/>
      <c r="F56" s="106"/>
      <c r="G56" s="106"/>
      <c r="H56" s="106"/>
      <c r="I56" s="106"/>
      <c r="J56" s="106"/>
      <c r="K56" s="106"/>
      <c r="L56" s="106"/>
      <c r="M56" s="106"/>
      <c r="N56" s="106"/>
      <c r="O56" s="106"/>
      <c r="P56" s="106"/>
      <c r="Q56" s="106"/>
      <c r="R56" s="106"/>
      <c r="S56" s="106"/>
      <c r="T56" s="106"/>
      <c r="U56" s="106"/>
      <c r="V56" s="106"/>
    </row>
    <row r="57" spans="1:22" ht="16.05" customHeight="1">
      <c r="A57" s="365" t="s">
        <v>71</v>
      </c>
      <c r="B57" s="259">
        <f>_xlfn.STDEV.S(C40:O40)</f>
        <v>0.12629828664385101</v>
      </c>
      <c r="C57" s="203"/>
      <c r="E57" s="106"/>
      <c r="F57" s="106"/>
      <c r="G57" s="106"/>
      <c r="H57" s="106"/>
      <c r="I57" s="106"/>
      <c r="J57" s="106"/>
      <c r="K57" s="106"/>
      <c r="L57" s="106"/>
      <c r="M57" s="106"/>
      <c r="N57" s="106"/>
      <c r="O57" s="106"/>
      <c r="P57" s="106"/>
      <c r="Q57" s="106"/>
      <c r="R57" s="106"/>
      <c r="S57" s="106"/>
      <c r="T57" s="106"/>
      <c r="U57" s="106"/>
      <c r="V57" s="106"/>
    </row>
    <row r="58" spans="1:22" ht="16.05" customHeight="1">
      <c r="A58" s="365" t="s">
        <v>73</v>
      </c>
      <c r="B58" s="197">
        <f>_xlfn.STDEV.S(B42:O42)</f>
        <v>3.6608442834972395E-2</v>
      </c>
      <c r="C58" s="203"/>
      <c r="E58" s="106"/>
      <c r="F58" s="106"/>
      <c r="G58" s="106"/>
      <c r="H58" s="106"/>
      <c r="I58" s="106"/>
      <c r="J58" s="106"/>
      <c r="K58" s="106"/>
      <c r="L58" s="106"/>
      <c r="M58" s="106"/>
      <c r="N58" s="106"/>
      <c r="O58" s="106"/>
      <c r="P58" s="106"/>
      <c r="Q58" s="106"/>
      <c r="R58" s="106"/>
      <c r="S58" s="106"/>
      <c r="T58" s="106"/>
      <c r="U58" s="106"/>
      <c r="V58" s="106"/>
    </row>
    <row r="59" spans="1:22" ht="16.05" customHeight="1">
      <c r="A59" s="365" t="s">
        <v>387</v>
      </c>
      <c r="B59" s="197">
        <f>_xlfn.STDEV.S(B44:O44)</f>
        <v>3.9503482228665239E-2</v>
      </c>
      <c r="C59" s="203"/>
      <c r="E59" s="106"/>
      <c r="F59" s="106"/>
      <c r="G59" s="106"/>
      <c r="H59" s="106"/>
      <c r="I59" s="106"/>
      <c r="J59" s="106"/>
      <c r="K59" s="106"/>
      <c r="L59" s="106"/>
      <c r="M59" s="106"/>
      <c r="N59" s="106"/>
      <c r="O59" s="106"/>
      <c r="P59" s="106"/>
      <c r="Q59" s="106"/>
      <c r="R59" s="106"/>
      <c r="S59" s="106"/>
      <c r="T59" s="106"/>
      <c r="U59" s="106"/>
      <c r="V59" s="106"/>
    </row>
    <row r="60" spans="1:22" ht="16.05" customHeight="1">
      <c r="A60" s="180"/>
      <c r="B60" s="197"/>
      <c r="C60" s="203"/>
      <c r="E60" s="106"/>
      <c r="F60" s="106"/>
      <c r="G60" s="106"/>
      <c r="H60" s="106"/>
      <c r="I60" s="106"/>
      <c r="J60" s="106"/>
      <c r="K60" s="106"/>
      <c r="L60" s="106"/>
      <c r="M60" s="106"/>
      <c r="N60" s="106"/>
      <c r="O60" s="106"/>
      <c r="P60" s="106"/>
      <c r="Q60" s="106"/>
      <c r="R60" s="106"/>
      <c r="S60" s="106"/>
      <c r="T60" s="106"/>
      <c r="U60" s="106"/>
      <c r="V60" s="106"/>
    </row>
    <row r="61" spans="1:22" ht="16.05" customHeight="1">
      <c r="A61" s="203"/>
      <c r="B61" s="203"/>
      <c r="C61" s="203"/>
    </row>
  </sheetData>
  <phoneticPr fontId="44" type="noConversion"/>
  <printOptions horizontalCentered="1"/>
  <pageMargins left="0.25" right="0.25" top="0.75" bottom="0.75" header="0.3" footer="0.3"/>
  <pageSetup scale="54"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6E93-7B83-4E26-AB9E-5A059ADF17E4}">
  <sheetPr>
    <tabColor rgb="FFDAF2D0"/>
  </sheetPr>
  <dimension ref="A1:AN30"/>
  <sheetViews>
    <sheetView showGridLines="0" workbookViewId="0">
      <selection activeCell="A28" sqref="A28"/>
    </sheetView>
  </sheetViews>
  <sheetFormatPr defaultColWidth="16.77734375" defaultRowHeight="16.05" customHeight="1"/>
  <cols>
    <col min="1" max="1" width="66.77734375" customWidth="1"/>
    <col min="2" max="2" width="16.77734375" style="6"/>
    <col min="10" max="10" width="16.77734375" style="6"/>
  </cols>
  <sheetData>
    <row r="1" spans="1:40" ht="30" customHeight="1">
      <c r="A1" s="192" t="s">
        <v>362</v>
      </c>
      <c r="B1" s="14"/>
      <c r="C1" s="193"/>
      <c r="D1" s="193"/>
      <c r="E1" s="193"/>
      <c r="F1" s="193"/>
      <c r="G1" s="193"/>
      <c r="H1" s="193"/>
      <c r="I1" s="193"/>
      <c r="J1" s="194"/>
      <c r="P1" s="181"/>
      <c r="Q1" s="181"/>
      <c r="R1" s="181"/>
      <c r="S1" s="181"/>
      <c r="T1" s="181"/>
      <c r="U1" s="181"/>
      <c r="V1" s="181"/>
      <c r="W1" s="36"/>
      <c r="X1" s="36"/>
      <c r="Y1" s="36"/>
      <c r="Z1" s="36"/>
      <c r="AA1" s="36"/>
      <c r="AB1" s="36"/>
      <c r="AC1" s="36"/>
      <c r="AD1" s="36"/>
      <c r="AE1" s="36"/>
      <c r="AF1" s="36"/>
      <c r="AG1" s="36"/>
      <c r="AH1" s="36"/>
      <c r="AI1" s="36"/>
      <c r="AJ1" s="36"/>
      <c r="AK1" s="36"/>
      <c r="AL1" s="36"/>
      <c r="AM1" s="36"/>
      <c r="AN1" s="36"/>
    </row>
    <row r="2" spans="1:40" s="36" customFormat="1" ht="16.05" customHeight="1">
      <c r="A2" s="232" t="s">
        <v>390</v>
      </c>
      <c r="B2" s="243" t="s">
        <v>391</v>
      </c>
      <c r="C2" s="243">
        <v>2018</v>
      </c>
      <c r="D2" s="243">
        <v>2019</v>
      </c>
      <c r="E2" s="243">
        <v>2020</v>
      </c>
      <c r="F2" s="243">
        <v>2021</v>
      </c>
      <c r="G2" s="243">
        <v>2022</v>
      </c>
      <c r="H2" s="243">
        <v>2023</v>
      </c>
      <c r="I2" s="243">
        <v>2024</v>
      </c>
      <c r="J2" s="288" t="s">
        <v>59</v>
      </c>
      <c r="K2"/>
      <c r="L2"/>
      <c r="M2"/>
      <c r="N2"/>
      <c r="O2"/>
      <c r="P2" s="181"/>
      <c r="Q2" s="181"/>
      <c r="R2" s="181"/>
      <c r="S2" s="181"/>
      <c r="T2" s="181"/>
      <c r="U2" s="181"/>
      <c r="V2" s="181"/>
    </row>
    <row r="3" spans="1:40" ht="16.05" customHeight="1">
      <c r="A3" s="365" t="s">
        <v>371</v>
      </c>
      <c r="B3" s="284">
        <f>AVERAGE(C3:I3)</f>
        <v>0.96078886542585651</v>
      </c>
      <c r="C3" s="274">
        <f>'Inc. Stmt.'!B3/'Inc. Stmt.'!B$5</f>
        <v>0.92823825016395489</v>
      </c>
      <c r="D3" s="274">
        <f>'Inc. Stmt.'!C3/'Inc. Stmt.'!C$5</f>
        <v>0.95979334562817376</v>
      </c>
      <c r="E3" s="274">
        <f>'Inc. Stmt.'!D3/'Inc. Stmt.'!D$5</f>
        <v>0.95302867458794427</v>
      </c>
      <c r="F3" s="274">
        <f>'Inc. Stmt.'!E3/'Inc. Stmt.'!E$5</f>
        <v>0.93357288883693212</v>
      </c>
      <c r="G3" s="274">
        <f>'Inc. Stmt.'!F3/'Inc. Stmt.'!F$5</f>
        <v>0.96936954465059311</v>
      </c>
      <c r="H3" s="274">
        <f>'Inc. Stmt.'!G3/'Inc. Stmt.'!G$5</f>
        <v>0.99524388117296969</v>
      </c>
      <c r="I3" s="274">
        <f>'Inc. Stmt.'!H3/'Inc. Stmt.'!H$5</f>
        <v>0.98627547294042761</v>
      </c>
      <c r="J3" s="279">
        <f>'Inc. Stmt.'!I3/'Inc. Stmt.'!I$5</f>
        <v>0.96078886542585651</v>
      </c>
    </row>
    <row r="4" spans="1:40" ht="16.05" customHeight="1">
      <c r="A4" s="365" t="s">
        <v>372</v>
      </c>
      <c r="B4" s="284">
        <f>AVERAGE(C4:I4)</f>
        <v>3.9211134574143491E-2</v>
      </c>
      <c r="C4" s="274">
        <f>'Inc. Stmt.'!B4/'Inc. Stmt.'!B$5</f>
        <v>7.1761749836045066E-2</v>
      </c>
      <c r="D4" s="274">
        <f>'Inc. Stmt.'!C4/'Inc. Stmt.'!C$5</f>
        <v>4.0206654371826286E-2</v>
      </c>
      <c r="E4" s="274">
        <f>'Inc. Stmt.'!D4/'Inc. Stmt.'!D$5</f>
        <v>4.6971325412055683E-2</v>
      </c>
      <c r="F4" s="274">
        <f>'Inc. Stmt.'!E4/'Inc. Stmt.'!E$5</f>
        <v>6.6427111163067876E-2</v>
      </c>
      <c r="G4" s="274">
        <f>'Inc. Stmt.'!F4/'Inc. Stmt.'!F$5</f>
        <v>3.0630455349406897E-2</v>
      </c>
      <c r="H4" s="274">
        <f>'Inc. Stmt.'!G4/'Inc. Stmt.'!G$5</f>
        <v>4.7561188270302803E-3</v>
      </c>
      <c r="I4" s="274">
        <f>'Inc. Stmt.'!H4/'Inc. Stmt.'!H$5</f>
        <v>1.3724527059572366E-2</v>
      </c>
      <c r="J4" s="279">
        <f>'Inc. Stmt.'!I4/'Inc. Stmt.'!I$5</f>
        <v>3.9211134574143491E-2</v>
      </c>
    </row>
    <row r="5" spans="1:40" ht="16.05" customHeight="1">
      <c r="A5" s="264" t="s">
        <v>375</v>
      </c>
      <c r="B5" s="285">
        <f>AVERAGE(C5:J5)</f>
        <v>1</v>
      </c>
      <c r="C5" s="277">
        <f>'Inc. Stmt.'!B5/'Inc. Stmt.'!B$5</f>
        <v>1</v>
      </c>
      <c r="D5" s="277">
        <f>'Inc. Stmt.'!C5/'Inc. Stmt.'!C$5</f>
        <v>1</v>
      </c>
      <c r="E5" s="277">
        <f>'Inc. Stmt.'!D5/'Inc. Stmt.'!D$5</f>
        <v>1</v>
      </c>
      <c r="F5" s="277">
        <f>'Inc. Stmt.'!E5/'Inc. Stmt.'!E$5</f>
        <v>1</v>
      </c>
      <c r="G5" s="277">
        <f>'Inc. Stmt.'!F5/'Inc. Stmt.'!F$5</f>
        <v>1</v>
      </c>
      <c r="H5" s="277">
        <f>'Inc. Stmt.'!G5/'Inc. Stmt.'!G$5</f>
        <v>1</v>
      </c>
      <c r="I5" s="277">
        <f>'Inc. Stmt.'!H5/'Inc. Stmt.'!H$5</f>
        <v>1</v>
      </c>
      <c r="J5" s="280">
        <f>'Inc. Stmt.'!I5/'Inc. Stmt.'!I$5</f>
        <v>1</v>
      </c>
    </row>
    <row r="6" spans="1:40" s="2" customFormat="1" ht="16.05" customHeight="1">
      <c r="A6" s="365" t="s">
        <v>373</v>
      </c>
      <c r="B6" s="284">
        <f>AVERAGE(C6:J6)</f>
        <v>0.69636789216355066</v>
      </c>
      <c r="C6" s="274">
        <f>'Inc. Stmt.'!B6/'Inc. Stmt.'!B$5</f>
        <v>0.73302846001023014</v>
      </c>
      <c r="D6" s="274">
        <f>'Inc. Stmt.'!C6/'Inc. Stmt.'!C$5</f>
        <v>0.75522825455372256</v>
      </c>
      <c r="E6" s="274">
        <f>'Inc. Stmt.'!D6/'Inc. Stmt.'!D$5</f>
        <v>0.72320779983217576</v>
      </c>
      <c r="F6" s="274">
        <f>'Inc. Stmt.'!E6/'Inc. Stmt.'!E$5</f>
        <v>0.68741927297922267</v>
      </c>
      <c r="G6" s="274">
        <f>'Inc. Stmt.'!F6/'Inc. Stmt.'!F$5</f>
        <v>0.68091862921288226</v>
      </c>
      <c r="H6" s="274">
        <f>'Inc. Stmt.'!G6/'Inc. Stmt.'!G$5</f>
        <v>0.68800816781139784</v>
      </c>
      <c r="I6" s="274">
        <f>'Inc. Stmt.'!H6/'Inc. Stmt.'!H$5</f>
        <v>0.65313255290877359</v>
      </c>
      <c r="J6" s="279">
        <f>'Inc. Stmt.'!I6/'Inc. Stmt.'!I$5</f>
        <v>0.65</v>
      </c>
      <c r="K6"/>
      <c r="L6"/>
      <c r="M6"/>
      <c r="N6"/>
      <c r="O6"/>
      <c r="P6"/>
      <c r="Q6"/>
      <c r="R6"/>
      <c r="S6"/>
    </row>
    <row r="7" spans="1:40" ht="16.05" customHeight="1">
      <c r="A7" s="365" t="s">
        <v>374</v>
      </c>
      <c r="B7" s="284">
        <f>AVERAGE(C7:I7)</f>
        <v>3.0993853848634928E-2</v>
      </c>
      <c r="C7" s="274">
        <f>'Inc. Stmt.'!B7/'Inc. Stmt.'!B$5</f>
        <v>5.7991139218179513E-2</v>
      </c>
      <c r="D7" s="274">
        <f>'Inc. Stmt.'!C7/'Inc. Stmt.'!C$5</f>
        <v>3.119268372786297E-2</v>
      </c>
      <c r="E7" s="274">
        <f>'Inc. Stmt.'!D7/'Inc. Stmt.'!D$5</f>
        <v>3.6424421195855414E-2</v>
      </c>
      <c r="F7" s="274">
        <f>'Inc. Stmt.'!E7/'Inc. Stmt.'!E$5</f>
        <v>5.4497332622412818E-2</v>
      </c>
      <c r="G7" s="274">
        <f>'Inc. Stmt.'!F7/'Inc. Stmt.'!F$5</f>
        <v>2.1534958894477336E-2</v>
      </c>
      <c r="H7" s="274">
        <f>'Inc. Stmt.'!G7/'Inc. Stmt.'!G$5</f>
        <v>3.6277008060932323E-3</v>
      </c>
      <c r="I7" s="274">
        <f>'Inc. Stmt.'!H7/'Inc. Stmt.'!H$5</f>
        <v>1.1688740475563177E-2</v>
      </c>
      <c r="J7" s="279">
        <f>'Inc. Stmt.'!I7/'Inc. Stmt.'!I$5</f>
        <v>3.0993853848634928E-2</v>
      </c>
    </row>
    <row r="8" spans="1:40" ht="16.05" customHeight="1">
      <c r="A8" s="264" t="s">
        <v>376</v>
      </c>
      <c r="B8" s="286">
        <f t="shared" ref="B8:B19" si="0">AVERAGE(C8:J8)</f>
        <v>0.72773751428110633</v>
      </c>
      <c r="C8" s="278">
        <f>'Inc. Stmt.'!B8/'Inc. Stmt.'!B$5</f>
        <v>0.7910195992284097</v>
      </c>
      <c r="D8" s="278">
        <f>'Inc. Stmt.'!C8/'Inc. Stmt.'!C$5</f>
        <v>0.78642093828158555</v>
      </c>
      <c r="E8" s="278">
        <f>'Inc. Stmt.'!D8/'Inc. Stmt.'!D$5</f>
        <v>0.75963222102803118</v>
      </c>
      <c r="F8" s="278">
        <f>'Inc. Stmt.'!E8/'Inc. Stmt.'!E$5</f>
        <v>0.74191660560163553</v>
      </c>
      <c r="G8" s="278">
        <f>'Inc. Stmt.'!F8/'Inc. Stmt.'!F$5</f>
        <v>0.70245358810735958</v>
      </c>
      <c r="H8" s="278">
        <f>'Inc. Stmt.'!G8/'Inc. Stmt.'!G$5</f>
        <v>0.69163586861749105</v>
      </c>
      <c r="I8" s="278">
        <f>'Inc. Stmt.'!H8/'Inc. Stmt.'!H$5</f>
        <v>0.66482129338433682</v>
      </c>
      <c r="J8" s="281">
        <f>'Inc. Stmt.'!I8/'Inc. Stmt.'!I$5</f>
        <v>0.68399999999999994</v>
      </c>
    </row>
    <row r="9" spans="1:40" ht="16.05" customHeight="1">
      <c r="A9" s="264" t="s">
        <v>377</v>
      </c>
      <c r="B9" s="287">
        <f t="shared" si="0"/>
        <v>0.27226248571889383</v>
      </c>
      <c r="C9" s="275">
        <f>'Inc. Stmt.'!B9/'Inc. Stmt.'!B$5</f>
        <v>0.20898040077159033</v>
      </c>
      <c r="D9" s="275">
        <f>'Inc. Stmt.'!C9/'Inc. Stmt.'!C$5</f>
        <v>0.21357906171841448</v>
      </c>
      <c r="E9" s="275">
        <f>'Inc. Stmt.'!D9/'Inc. Stmt.'!D$5</f>
        <v>0.24036777897196884</v>
      </c>
      <c r="F9" s="275">
        <f>'Inc. Stmt.'!E9/'Inc. Stmt.'!E$5</f>
        <v>0.25808339439836453</v>
      </c>
      <c r="G9" s="275">
        <f>'Inc. Stmt.'!F9/'Inc. Stmt.'!F$5</f>
        <v>0.29754641189264036</v>
      </c>
      <c r="H9" s="275">
        <f>'Inc. Stmt.'!G9/'Inc. Stmt.'!G$5</f>
        <v>0.30836413138250895</v>
      </c>
      <c r="I9" s="275">
        <f>'Inc. Stmt.'!H9/'Inc. Stmt.'!H$5</f>
        <v>0.33517870661566324</v>
      </c>
      <c r="J9" s="282">
        <f>'Inc. Stmt.'!I9/'Inc. Stmt.'!I$5</f>
        <v>0.316</v>
      </c>
    </row>
    <row r="10" spans="1:40" ht="16.05" customHeight="1">
      <c r="A10" s="365" t="s">
        <v>4</v>
      </c>
      <c r="B10" s="284">
        <f t="shared" si="0"/>
        <v>0.10552624205446259</v>
      </c>
      <c r="C10" s="274">
        <f>'Inc. Stmt.'!B10/'Inc. Stmt.'!B$5</f>
        <v>9.1125267980123367E-2</v>
      </c>
      <c r="D10" s="274">
        <f>'Inc. Stmt.'!C10/'Inc. Stmt.'!C$5</f>
        <v>0.12462294419321426</v>
      </c>
      <c r="E10" s="274">
        <f>'Inc. Stmt.'!D10/'Inc. Stmt.'!D$5</f>
        <v>0.1148889214473869</v>
      </c>
      <c r="F10" s="274">
        <f>'Inc. Stmt.'!E10/'Inc. Stmt.'!E$5</f>
        <v>9.5709813269312466E-2</v>
      </c>
      <c r="G10" s="274">
        <f>'Inc. Stmt.'!F10/'Inc. Stmt.'!F$5</f>
        <v>9.3266385746216984E-2</v>
      </c>
      <c r="H10" s="274">
        <f>'Inc. Stmt.'!G10/'Inc. Stmt.'!G$5</f>
        <v>0.10855370110985481</v>
      </c>
      <c r="I10" s="274">
        <f>'Inc. Stmt.'!H10/'Inc. Stmt.'!H$5</f>
        <v>0.10794290268959186</v>
      </c>
      <c r="J10" s="279">
        <f>'Inc. Stmt.'!I10/'Inc. Stmt.'!I$5</f>
        <v>0.10810000000000003</v>
      </c>
    </row>
    <row r="11" spans="1:40" ht="16.05" customHeight="1">
      <c r="A11" s="365" t="s">
        <v>363</v>
      </c>
      <c r="B11" s="284">
        <f t="shared" si="0"/>
        <v>3.3933459152373055E-4</v>
      </c>
      <c r="C11" s="274">
        <f>'Inc. Stmt.'!B11/'Inc. Stmt.'!B$5</f>
        <v>2.7146767321898444E-3</v>
      </c>
      <c r="D11" s="274">
        <f>'Inc. Stmt.'!C11/'Inc. Stmt.'!C$5</f>
        <v>0</v>
      </c>
      <c r="E11" s="274">
        <f>'Inc. Stmt.'!D11/'Inc. Stmt.'!D$5</f>
        <v>0</v>
      </c>
      <c r="F11" s="274">
        <f>'Inc. Stmt.'!E11/'Inc. Stmt.'!E$5</f>
        <v>0</v>
      </c>
      <c r="G11" s="274">
        <f>'Inc. Stmt.'!F11/'Inc. Stmt.'!F$5</f>
        <v>0</v>
      </c>
      <c r="H11" s="274">
        <f>'Inc. Stmt.'!G11/'Inc. Stmt.'!G$5</f>
        <v>0</v>
      </c>
      <c r="I11" s="274">
        <f>'Inc. Stmt.'!H11/'Inc. Stmt.'!H$5</f>
        <v>0</v>
      </c>
      <c r="J11" s="279">
        <f>'Inc. Stmt.'!I11/'Inc. Stmt.'!I$5</f>
        <v>0</v>
      </c>
    </row>
    <row r="12" spans="1:40" s="2" customFormat="1" ht="16.05" customHeight="1">
      <c r="A12" s="365" t="s">
        <v>364</v>
      </c>
      <c r="B12" s="284">
        <f t="shared" si="0"/>
        <v>1.1611028272098169E-3</v>
      </c>
      <c r="C12" s="274">
        <f>'Inc. Stmt.'!B12/'Inc. Stmt.'!B$5</f>
        <v>2.7146767321898444E-3</v>
      </c>
      <c r="D12" s="274">
        <f>'Inc. Stmt.'!C12/'Inc. Stmt.'!C$5</f>
        <v>6.1971048177247813E-3</v>
      </c>
      <c r="E12" s="274">
        <f>'Inc. Stmt.'!D12/'Inc. Stmt.'!D$5</f>
        <v>3.770410677639108E-4</v>
      </c>
      <c r="F12" s="274">
        <f>'Inc. Stmt.'!E12/'Inc. Stmt.'!E$5</f>
        <v>0</v>
      </c>
      <c r="G12" s="274">
        <f>'Inc. Stmt.'!F12/'Inc. Stmt.'!F$5</f>
        <v>0</v>
      </c>
      <c r="H12" s="274">
        <f>'Inc. Stmt.'!G12/'Inc. Stmt.'!G$5</f>
        <v>0</v>
      </c>
      <c r="I12" s="274">
        <f>'Inc. Stmt.'!H12/'Inc. Stmt.'!H$5</f>
        <v>0</v>
      </c>
      <c r="J12" s="279">
        <f>'Inc. Stmt.'!I12/'Inc. Stmt.'!I$5</f>
        <v>0</v>
      </c>
      <c r="K12"/>
      <c r="L12"/>
      <c r="M12"/>
      <c r="N12"/>
      <c r="O12"/>
      <c r="P12"/>
      <c r="Q12"/>
      <c r="R12"/>
      <c r="S12"/>
    </row>
    <row r="13" spans="1:40" ht="16.05" customHeight="1">
      <c r="A13" s="365" t="s">
        <v>6</v>
      </c>
      <c r="B13" s="284">
        <f t="shared" si="0"/>
        <v>1.0498894619063495E-2</v>
      </c>
      <c r="C13" s="274">
        <f>'Inc. Stmt.'!B13/'Inc. Stmt.'!B$5</f>
        <v>1.1639597400452499E-2</v>
      </c>
      <c r="D13" s="274">
        <f>'Inc. Stmt.'!C13/'Inc. Stmt.'!C$5</f>
        <v>1.2390420129853726E-2</v>
      </c>
      <c r="E13" s="274">
        <f>'Inc. Stmt.'!D13/'Inc. Stmt.'!D$5</f>
        <v>1.7063157452554812E-2</v>
      </c>
      <c r="F13" s="274">
        <f>'Inc. Stmt.'!E13/'Inc. Stmt.'!E$5</f>
        <v>1.4051847775569615E-2</v>
      </c>
      <c r="G13" s="274">
        <f>'Inc. Stmt.'!F13/'Inc. Stmt.'!F$5</f>
        <v>1.457850839091975E-2</v>
      </c>
      <c r="H13" s="274">
        <f>'Inc. Stmt.'!G13/'Inc. Stmt.'!G$5</f>
        <v>9.4177340511106978E-3</v>
      </c>
      <c r="I13" s="274">
        <f>'Inc. Stmt.'!H13/'Inc. Stmt.'!H$5</f>
        <v>2.421695110348399E-3</v>
      </c>
      <c r="J13" s="279">
        <f>'Inc. Stmt.'!I13/'Inc. Stmt.'!I$5</f>
        <v>2.4281966416984705E-3</v>
      </c>
    </row>
    <row r="14" spans="1:40" s="2" customFormat="1" ht="16.05" customHeight="1">
      <c r="A14" s="365" t="s">
        <v>7</v>
      </c>
      <c r="B14" s="284">
        <f t="shared" si="0"/>
        <v>8.533203788263102E-3</v>
      </c>
      <c r="C14" s="274">
        <f>'Inc. Stmt.'!B14/'Inc. Stmt.'!B$5</f>
        <v>4.1770424615206999E-3</v>
      </c>
      <c r="D14" s="274">
        <f>'Inc. Stmt.'!C14/'Inc. Stmt.'!C$5</f>
        <v>1.1372306293105627E-2</v>
      </c>
      <c r="E14" s="274">
        <f>'Inc. Stmt.'!D14/'Inc. Stmt.'!D$5</f>
        <v>4.1566728584733316E-3</v>
      </c>
      <c r="F14" s="274">
        <f>'Inc. Stmt.'!E14/'Inc. Stmt.'!E$5</f>
        <v>6.7596851040291513E-3</v>
      </c>
      <c r="G14" s="274">
        <f>'Inc. Stmt.'!F14/'Inc. Stmt.'!F$5</f>
        <v>6.6885008644362561E-3</v>
      </c>
      <c r="H14" s="274">
        <f>'Inc. Stmt.'!G14/'Inc. Stmt.'!G$5</f>
        <v>1.0893790325756169E-2</v>
      </c>
      <c r="I14" s="274">
        <f>'Inc. Stmt.'!H14/'Inc. Stmt.'!H$5</f>
        <v>1.4217632398783578E-2</v>
      </c>
      <c r="J14" s="279">
        <f>'Inc. Stmt.'!I14/'Inc. Stmt.'!I$5</f>
        <v>0.01</v>
      </c>
      <c r="K14"/>
      <c r="L14"/>
      <c r="M14"/>
      <c r="N14"/>
      <c r="O14"/>
      <c r="P14"/>
      <c r="Q14"/>
      <c r="R14"/>
      <c r="S14"/>
    </row>
    <row r="15" spans="1:40" ht="16.05" customHeight="1">
      <c r="A15" s="265" t="s">
        <v>8</v>
      </c>
      <c r="B15" s="285">
        <f t="shared" si="0"/>
        <v>0.18305371466433573</v>
      </c>
      <c r="C15" s="277">
        <f>'Inc. Stmt.'!B15/'Inc. Stmt.'!B$5</f>
        <v>0.13095709592125032</v>
      </c>
      <c r="D15" s="277">
        <f>'Inc. Stmt.'!C15/'Inc. Stmt.'!C$5</f>
        <v>0.10652173913043478</v>
      </c>
      <c r="E15" s="277">
        <f>'Inc. Stmt.'!D15/'Inc. Stmt.'!D$5</f>
        <v>0.14632164676784618</v>
      </c>
      <c r="F15" s="277">
        <f>'Inc. Stmt.'!E15/'Inc. Stmt.'!E$5</f>
        <v>0.18318511400865081</v>
      </c>
      <c r="G15" s="277">
        <f>'Inc. Stmt.'!F15/'Inc. Stmt.'!F$5</f>
        <v>0.22554703540177939</v>
      </c>
      <c r="H15" s="277">
        <f>'Inc. Stmt.'!G15/'Inc. Stmt.'!G$5</f>
        <v>0.220121954649521</v>
      </c>
      <c r="I15" s="277">
        <f>'Inc. Stmt.'!H15/'Inc. Stmt.'!H$5</f>
        <v>0.24387513143520334</v>
      </c>
      <c r="J15" s="280">
        <f>'Inc. Stmt.'!I15/'Inc. Stmt.'!I$5</f>
        <v>0.2079</v>
      </c>
    </row>
    <row r="16" spans="1:40" ht="16.05" customHeight="1">
      <c r="A16" s="365" t="s">
        <v>9</v>
      </c>
      <c r="B16" s="284">
        <f t="shared" si="0"/>
        <v>3.7932125515907932E-2</v>
      </c>
      <c r="C16" s="274">
        <f>'Inc. Stmt.'!B16/'Inc. Stmt.'!B$5</f>
        <v>2.747708238795344E-2</v>
      </c>
      <c r="D16" s="274">
        <f>'Inc. Stmt.'!C16/'Inc. Stmt.'!C$5</f>
        <v>2.5297476189273173E-2</v>
      </c>
      <c r="E16" s="274">
        <f>'Inc. Stmt.'!D16/'Inc. Stmt.'!D$5</f>
        <v>2.5630596062994546E-2</v>
      </c>
      <c r="F16" s="274">
        <f>'Inc. Stmt.'!E16/'Inc. Stmt.'!E$5</f>
        <v>3.7497968459079774E-2</v>
      </c>
      <c r="G16" s="274">
        <f>'Inc. Stmt.'!F16/'Inc. Stmt.'!F$5</f>
        <v>4.6915649339825567E-2</v>
      </c>
      <c r="H16" s="274">
        <f>'Inc. Stmt.'!G16/'Inc. Stmt.'!G$5</f>
        <v>4.7610690157562259E-2</v>
      </c>
      <c r="I16" s="274">
        <f>'Inc. Stmt.'!H16/'Inc. Stmt.'!H$5</f>
        <v>4.5129858219113146E-2</v>
      </c>
      <c r="J16" s="279">
        <f>'Inc. Stmt.'!I16/'Inc. Stmt.'!I$5</f>
        <v>4.7897683311461527E-2</v>
      </c>
    </row>
    <row r="17" spans="1:10" ht="16.05" customHeight="1" thickBot="1">
      <c r="A17" s="311" t="s">
        <v>10</v>
      </c>
      <c r="B17" s="308">
        <f t="shared" si="0"/>
        <v>0.14512158914842779</v>
      </c>
      <c r="C17" s="309">
        <f>'Inc. Stmt.'!B17/'Inc. Stmt.'!B$5</f>
        <v>0.10348001353329687</v>
      </c>
      <c r="D17" s="309">
        <f>'Inc. Stmt.'!C17/'Inc. Stmt.'!C$5</f>
        <v>8.1224262941161612E-2</v>
      </c>
      <c r="E17" s="309">
        <f>'Inc. Stmt.'!D17/'Inc. Stmt.'!D$5</f>
        <v>0.12069105070485164</v>
      </c>
      <c r="F17" s="309">
        <f>'Inc. Stmt.'!E17/'Inc. Stmt.'!E$5</f>
        <v>0.14568714554957102</v>
      </c>
      <c r="G17" s="309">
        <f>'Inc. Stmt.'!F17/'Inc. Stmt.'!F$5</f>
        <v>0.17863138606195383</v>
      </c>
      <c r="H17" s="309">
        <f>'Inc. Stmt.'!G17/'Inc. Stmt.'!G$5</f>
        <v>0.17251126449195875</v>
      </c>
      <c r="I17" s="309">
        <f>'Inc. Stmt.'!H17/'Inc. Stmt.'!H$5</f>
        <v>0.1987452732160902</v>
      </c>
      <c r="J17" s="310">
        <f>'Inc. Stmt.'!I17/'Inc. Stmt.'!I$5</f>
        <v>0.16000231668853845</v>
      </c>
    </row>
    <row r="18" spans="1:10" ht="16.05" customHeight="1" thickTop="1">
      <c r="A18" s="365" t="s">
        <v>11</v>
      </c>
      <c r="B18" s="284">
        <f t="shared" si="0"/>
        <v>1.2157947420358599E-2</v>
      </c>
      <c r="C18" s="274">
        <f>'Inc. Stmt.'!B18/'Inc. Stmt.'!B$5</f>
        <v>2.0704020062631584E-2</v>
      </c>
      <c r="D18" s="274">
        <f>'Inc. Stmt.'!C18/'Inc. Stmt.'!C$5</f>
        <v>7.131849531364475E-3</v>
      </c>
      <c r="E18" s="274">
        <f>'Inc. Stmt.'!D18/'Inc. Stmt.'!D$5</f>
        <v>4.2048275600627448E-3</v>
      </c>
      <c r="F18" s="274">
        <f>'Inc. Stmt.'!E18/'Inc. Stmt.'!E$5</f>
        <v>1.0101391712453559E-2</v>
      </c>
      <c r="G18" s="274">
        <f>'Inc. Stmt.'!F18/'Inc. Stmt.'!F$5</f>
        <v>1.2570877230709191E-2</v>
      </c>
      <c r="H18" s="274">
        <f>'Inc. Stmt.'!G18/'Inc. Stmt.'!G$5</f>
        <v>1.2403035365723318E-2</v>
      </c>
      <c r="I18" s="274">
        <f>'Inc. Stmt.'!H18/'Inc. Stmt.'!H$5</f>
        <v>1.6947577899923915E-2</v>
      </c>
      <c r="J18" s="279">
        <f>'Inc. Stmt.'!I18/'Inc. Stmt.'!I$5</f>
        <v>1.32E-2</v>
      </c>
    </row>
    <row r="19" spans="1:10" ht="16.05" customHeight="1">
      <c r="A19" s="266" t="s">
        <v>12</v>
      </c>
      <c r="B19" s="285">
        <f t="shared" si="0"/>
        <v>0.13296364172806921</v>
      </c>
      <c r="C19" s="277">
        <f>'Inc. Stmt.'!B19/'Inc. Stmt.'!B$5</f>
        <v>8.2775993470665291E-2</v>
      </c>
      <c r="D19" s="277">
        <f>'Inc. Stmt.'!C19/'Inc. Stmt.'!C$5</f>
        <v>7.4092413409797137E-2</v>
      </c>
      <c r="E19" s="277">
        <f>'Inc. Stmt.'!D19/'Inc. Stmt.'!D$5</f>
        <v>0.11648622314478889</v>
      </c>
      <c r="F19" s="277">
        <f>'Inc. Stmt.'!E19/'Inc. Stmt.'!E$5</f>
        <v>0.13558575383711746</v>
      </c>
      <c r="G19" s="277">
        <f>'Inc. Stmt.'!F19/'Inc. Stmt.'!F$5</f>
        <v>0.16606050883124462</v>
      </c>
      <c r="H19" s="277">
        <f>'Inc. Stmt.'!G19/'Inc. Stmt.'!G$5</f>
        <v>0.16010822912623543</v>
      </c>
      <c r="I19" s="277">
        <f>'Inc. Stmt.'!H19/'Inc. Stmt.'!H$5</f>
        <v>0.18179769531616627</v>
      </c>
      <c r="J19" s="280">
        <f>'Inc. Stmt.'!I19/'Inc. Stmt.'!I$5</f>
        <v>0.14680231668853846</v>
      </c>
    </row>
    <row r="20" spans="1:10" ht="16.05" customHeight="1">
      <c r="A20" s="256"/>
      <c r="B20" s="283"/>
      <c r="C20" s="195"/>
      <c r="D20" s="195"/>
      <c r="E20" s="195"/>
      <c r="F20" s="195"/>
      <c r="G20" s="195"/>
      <c r="H20" s="195"/>
      <c r="I20" s="195"/>
      <c r="J20"/>
    </row>
    <row r="21" spans="1:10" ht="16.05" customHeight="1">
      <c r="A21" s="179"/>
      <c r="B21" s="179"/>
      <c r="C21" s="179"/>
      <c r="D21" s="179"/>
      <c r="E21" s="179"/>
      <c r="F21" s="179"/>
      <c r="G21" s="179"/>
      <c r="H21" s="179"/>
      <c r="I21" s="179"/>
      <c r="J21" s="179"/>
    </row>
    <row r="24" spans="1:10" ht="16.05" customHeight="1">
      <c r="A24" s="179"/>
      <c r="B24" s="179"/>
      <c r="C24" s="179"/>
      <c r="D24" s="179"/>
      <c r="E24" s="179"/>
      <c r="F24" s="179"/>
      <c r="G24" s="179"/>
      <c r="H24" s="179"/>
      <c r="I24" s="179"/>
      <c r="J24" s="179"/>
    </row>
    <row r="25" spans="1:10" ht="16.05" customHeight="1">
      <c r="A25" s="179"/>
      <c r="B25" s="179"/>
      <c r="C25" s="179"/>
      <c r="D25" s="179"/>
      <c r="E25" s="179"/>
      <c r="F25" s="179"/>
      <c r="H25" s="179"/>
      <c r="I25" s="179"/>
      <c r="J25" s="179"/>
    </row>
    <row r="26" spans="1:10" ht="16.05" customHeight="1">
      <c r="A26" s="179"/>
      <c r="B26" s="179"/>
      <c r="C26" s="179"/>
      <c r="D26" s="179"/>
      <c r="E26" s="179"/>
      <c r="F26" s="179"/>
      <c r="G26" s="179"/>
      <c r="H26" s="179"/>
      <c r="I26" s="179"/>
      <c r="J26" s="179"/>
    </row>
    <row r="27" spans="1:10" ht="16.05" customHeight="1">
      <c r="B27"/>
      <c r="J27"/>
    </row>
    <row r="28" spans="1:10" ht="16.05" customHeight="1">
      <c r="B28"/>
      <c r="J28"/>
    </row>
    <row r="29" spans="1:10" ht="16.05" customHeight="1">
      <c r="B29"/>
      <c r="J29"/>
    </row>
    <row r="30" spans="1:10" ht="16.05" customHeight="1">
      <c r="B30"/>
      <c r="J30"/>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DCFFE-CB01-4BC1-8EA0-8F657A64A42E}">
  <sheetPr>
    <tabColor rgb="FFDAF2D0"/>
  </sheetPr>
  <dimension ref="A1:Q59"/>
  <sheetViews>
    <sheetView showGridLines="0" topLeftCell="G1" workbookViewId="0">
      <selection activeCell="A2" sqref="A2:XFD2"/>
    </sheetView>
  </sheetViews>
  <sheetFormatPr defaultColWidth="16.77734375" defaultRowHeight="16.05" customHeight="1"/>
  <cols>
    <col min="1" max="1" width="66.77734375" customWidth="1"/>
  </cols>
  <sheetData>
    <row r="1" spans="1:17" ht="30" customHeight="1">
      <c r="A1" s="368" t="s">
        <v>403</v>
      </c>
      <c r="B1" s="368"/>
      <c r="C1" s="368"/>
      <c r="D1" s="368"/>
      <c r="E1" s="368"/>
      <c r="F1" s="368"/>
      <c r="G1" s="368"/>
      <c r="H1" s="368"/>
      <c r="I1" s="368"/>
      <c r="J1" s="368"/>
      <c r="K1" s="368"/>
      <c r="L1" s="368"/>
      <c r="M1" s="368"/>
      <c r="N1" s="368"/>
      <c r="O1" s="368"/>
      <c r="P1" s="368"/>
      <c r="Q1" s="368"/>
    </row>
    <row r="2" spans="1:17" ht="16.05" customHeight="1">
      <c r="A2" s="380" t="s">
        <v>0</v>
      </c>
      <c r="B2" s="382" t="s">
        <v>406</v>
      </c>
      <c r="C2" s="382" t="s">
        <v>407</v>
      </c>
      <c r="D2" s="382" t="s">
        <v>408</v>
      </c>
      <c r="E2" s="411" t="s">
        <v>409</v>
      </c>
      <c r="F2" s="382" t="s">
        <v>410</v>
      </c>
      <c r="G2" s="382" t="s">
        <v>411</v>
      </c>
      <c r="H2" s="382" t="s">
        <v>412</v>
      </c>
      <c r="I2" s="411" t="s">
        <v>413</v>
      </c>
      <c r="J2" s="382" t="s">
        <v>414</v>
      </c>
      <c r="K2" s="382" t="s">
        <v>415</v>
      </c>
      <c r="L2" s="382" t="s">
        <v>416</v>
      </c>
      <c r="M2" s="381" t="s">
        <v>417</v>
      </c>
      <c r="N2" s="382" t="s">
        <v>418</v>
      </c>
      <c r="O2" s="382" t="s">
        <v>419</v>
      </c>
      <c r="P2" s="382" t="s">
        <v>420</v>
      </c>
      <c r="Q2" s="382" t="s">
        <v>404</v>
      </c>
    </row>
    <row r="3" spans="1:17" ht="16.05" customHeight="1">
      <c r="A3" s="365" t="s">
        <v>371</v>
      </c>
      <c r="B3" s="387">
        <v>364661</v>
      </c>
      <c r="C3" s="387">
        <v>512515</v>
      </c>
      <c r="D3" s="387">
        <v>396749</v>
      </c>
      <c r="E3" s="390">
        <v>430026</v>
      </c>
      <c r="F3" s="387">
        <v>450362</v>
      </c>
      <c r="G3" s="387">
        <v>454445</v>
      </c>
      <c r="H3" s="387">
        <v>415923</v>
      </c>
      <c r="I3" s="390">
        <v>448525</v>
      </c>
      <c r="J3" s="387">
        <v>443284</v>
      </c>
      <c r="K3" s="387">
        <v>547138</v>
      </c>
      <c r="L3" s="387">
        <v>522859</v>
      </c>
      <c r="M3" s="393">
        <v>556855</v>
      </c>
      <c r="N3" s="402">
        <v>495317</v>
      </c>
      <c r="O3" s="402">
        <v>547109</v>
      </c>
      <c r="P3" s="402">
        <v>499091</v>
      </c>
      <c r="Q3" s="402">
        <f>M3*(1+1.15%)</f>
        <v>563258.83250000002</v>
      </c>
    </row>
    <row r="4" spans="1:17" ht="16.05" customHeight="1">
      <c r="A4" s="365" t="s">
        <v>372</v>
      </c>
      <c r="B4" s="387">
        <v>28955</v>
      </c>
      <c r="C4" s="387">
        <v>12629</v>
      </c>
      <c r="D4" s="387">
        <v>11195</v>
      </c>
      <c r="E4" s="390">
        <v>1063</v>
      </c>
      <c r="F4" s="387">
        <v>1699</v>
      </c>
      <c r="G4" s="387">
        <v>1844</v>
      </c>
      <c r="H4" s="387">
        <v>3055</v>
      </c>
      <c r="I4" s="390">
        <v>1857</v>
      </c>
      <c r="J4" s="387">
        <v>4054</v>
      </c>
      <c r="K4" s="387">
        <v>13493</v>
      </c>
      <c r="L4" s="387">
        <v>801</v>
      </c>
      <c r="M4" s="393">
        <v>10459</v>
      </c>
      <c r="N4" s="402">
        <v>2304</v>
      </c>
      <c r="O4" s="402">
        <v>2038</v>
      </c>
      <c r="P4" s="402">
        <v>0</v>
      </c>
      <c r="Q4" s="402">
        <f>M4*(1+1.15%)</f>
        <v>10579.2785</v>
      </c>
    </row>
    <row r="5" spans="1:17" ht="16.05" customHeight="1">
      <c r="A5" s="376" t="s">
        <v>375</v>
      </c>
      <c r="B5" s="396">
        <f t="shared" ref="B5:Q5" si="0">B3+B4</f>
        <v>393616</v>
      </c>
      <c r="C5" s="396">
        <f t="shared" si="0"/>
        <v>525144</v>
      </c>
      <c r="D5" s="396">
        <f t="shared" si="0"/>
        <v>407944</v>
      </c>
      <c r="E5" s="397">
        <f t="shared" si="0"/>
        <v>431089</v>
      </c>
      <c r="F5" s="396">
        <f t="shared" si="0"/>
        <v>452061</v>
      </c>
      <c r="G5" s="396">
        <f t="shared" si="0"/>
        <v>456289</v>
      </c>
      <c r="H5" s="396">
        <f t="shared" si="0"/>
        <v>418978</v>
      </c>
      <c r="I5" s="397">
        <f t="shared" si="0"/>
        <v>450382</v>
      </c>
      <c r="J5" s="396">
        <f t="shared" si="0"/>
        <v>447338</v>
      </c>
      <c r="K5" s="396">
        <f t="shared" si="0"/>
        <v>560631</v>
      </c>
      <c r="L5" s="396">
        <f t="shared" si="0"/>
        <v>523660</v>
      </c>
      <c r="M5" s="398">
        <f t="shared" si="0"/>
        <v>567314</v>
      </c>
      <c r="N5" s="403">
        <f t="shared" si="0"/>
        <v>497621</v>
      </c>
      <c r="O5" s="403">
        <f t="shared" si="0"/>
        <v>549147</v>
      </c>
      <c r="P5" s="403">
        <f t="shared" si="0"/>
        <v>499091</v>
      </c>
      <c r="Q5" s="403">
        <f t="shared" si="0"/>
        <v>573838.11100000003</v>
      </c>
    </row>
    <row r="6" spans="1:17" ht="16.05" customHeight="1">
      <c r="A6" s="365" t="s">
        <v>373</v>
      </c>
      <c r="B6" s="387">
        <v>263430</v>
      </c>
      <c r="C6" s="387">
        <v>347142</v>
      </c>
      <c r="D6" s="387">
        <v>268536</v>
      </c>
      <c r="E6" s="390">
        <v>317806</v>
      </c>
      <c r="F6" s="387">
        <v>326124</v>
      </c>
      <c r="G6" s="387">
        <v>312030</v>
      </c>
      <c r="H6" s="387">
        <v>277446</v>
      </c>
      <c r="I6" s="390">
        <v>307479</v>
      </c>
      <c r="J6" s="387">
        <v>295313</v>
      </c>
      <c r="K6" s="387">
        <v>358183</v>
      </c>
      <c r="L6" s="387">
        <v>351666</v>
      </c>
      <c r="M6" s="393">
        <v>365726</v>
      </c>
      <c r="N6" s="402">
        <v>340621</v>
      </c>
      <c r="O6" s="402">
        <v>380656</v>
      </c>
      <c r="P6" s="402">
        <v>343629</v>
      </c>
      <c r="Q6" s="402">
        <f>M6*(1+1.15%)</f>
        <v>369931.84900000005</v>
      </c>
    </row>
    <row r="7" spans="1:17" ht="16.05" customHeight="1">
      <c r="A7" s="365" t="s">
        <v>374</v>
      </c>
      <c r="B7" s="387">
        <v>21830</v>
      </c>
      <c r="C7" s="387">
        <v>9106</v>
      </c>
      <c r="D7" s="387">
        <v>6089</v>
      </c>
      <c r="E7" s="390">
        <v>829</v>
      </c>
      <c r="F7" s="387">
        <v>1331</v>
      </c>
      <c r="G7" s="387">
        <v>1324</v>
      </c>
      <c r="H7" s="387">
        <v>2519</v>
      </c>
      <c r="I7" s="390">
        <v>1275</v>
      </c>
      <c r="J7" s="387">
        <v>3768</v>
      </c>
      <c r="K7" s="387">
        <v>12782</v>
      </c>
      <c r="L7" s="387">
        <v>431</v>
      </c>
      <c r="M7" s="393">
        <v>7553</v>
      </c>
      <c r="N7" s="402">
        <v>1215</v>
      </c>
      <c r="O7" s="402">
        <v>977</v>
      </c>
      <c r="P7" s="402">
        <v>0</v>
      </c>
      <c r="Q7" s="402">
        <f>M7*(1+1.15%)</f>
        <v>7639.8595000000005</v>
      </c>
    </row>
    <row r="8" spans="1:17" ht="16.05" customHeight="1">
      <c r="A8" s="376" t="s">
        <v>376</v>
      </c>
      <c r="B8" s="396">
        <f t="shared" ref="B8:Q8" si="1">B6+B7</f>
        <v>285260</v>
      </c>
      <c r="C8" s="396">
        <f t="shared" si="1"/>
        <v>356248</v>
      </c>
      <c r="D8" s="396">
        <f t="shared" si="1"/>
        <v>274625</v>
      </c>
      <c r="E8" s="397">
        <f t="shared" si="1"/>
        <v>318635</v>
      </c>
      <c r="F8" s="396">
        <f t="shared" si="1"/>
        <v>327455</v>
      </c>
      <c r="G8" s="396">
        <f t="shared" si="1"/>
        <v>313354</v>
      </c>
      <c r="H8" s="396">
        <f t="shared" si="1"/>
        <v>279965</v>
      </c>
      <c r="I8" s="397">
        <f t="shared" si="1"/>
        <v>308754</v>
      </c>
      <c r="J8" s="396">
        <f t="shared" si="1"/>
        <v>299081</v>
      </c>
      <c r="K8" s="396">
        <f t="shared" si="1"/>
        <v>370965</v>
      </c>
      <c r="L8" s="396">
        <f t="shared" si="1"/>
        <v>352097</v>
      </c>
      <c r="M8" s="398">
        <f t="shared" si="1"/>
        <v>373279</v>
      </c>
      <c r="N8" s="403">
        <f t="shared" si="1"/>
        <v>341836</v>
      </c>
      <c r="O8" s="403">
        <f t="shared" si="1"/>
        <v>381633</v>
      </c>
      <c r="P8" s="403">
        <f t="shared" si="1"/>
        <v>343629</v>
      </c>
      <c r="Q8" s="403">
        <f t="shared" si="1"/>
        <v>377571.70850000007</v>
      </c>
    </row>
    <row r="9" spans="1:17" ht="16.05" customHeight="1">
      <c r="A9" s="376" t="s">
        <v>377</v>
      </c>
      <c r="B9" s="396">
        <f t="shared" ref="B9:Q9" si="2">B5-B8</f>
        <v>108356</v>
      </c>
      <c r="C9" s="396">
        <f t="shared" si="2"/>
        <v>168896</v>
      </c>
      <c r="D9" s="396">
        <f t="shared" si="2"/>
        <v>133319</v>
      </c>
      <c r="E9" s="397">
        <f t="shared" si="2"/>
        <v>112454</v>
      </c>
      <c r="F9" s="396">
        <f t="shared" si="2"/>
        <v>124606</v>
      </c>
      <c r="G9" s="396">
        <f t="shared" si="2"/>
        <v>142935</v>
      </c>
      <c r="H9" s="396">
        <f t="shared" si="2"/>
        <v>139013</v>
      </c>
      <c r="I9" s="397">
        <f t="shared" si="2"/>
        <v>141628</v>
      </c>
      <c r="J9" s="396">
        <f t="shared" si="2"/>
        <v>148257</v>
      </c>
      <c r="K9" s="396">
        <f t="shared" si="2"/>
        <v>189666</v>
      </c>
      <c r="L9" s="396">
        <f t="shared" si="2"/>
        <v>171563</v>
      </c>
      <c r="M9" s="398">
        <f t="shared" si="2"/>
        <v>194035</v>
      </c>
      <c r="N9" s="403">
        <f t="shared" si="2"/>
        <v>155785</v>
      </c>
      <c r="O9" s="403">
        <f t="shared" si="2"/>
        <v>167514</v>
      </c>
      <c r="P9" s="403">
        <f t="shared" si="2"/>
        <v>155462</v>
      </c>
      <c r="Q9" s="403">
        <f t="shared" si="2"/>
        <v>196266.40249999997</v>
      </c>
    </row>
    <row r="10" spans="1:17" ht="16.05" customHeight="1">
      <c r="A10" s="365" t="s">
        <v>4</v>
      </c>
      <c r="B10" s="387">
        <v>34265</v>
      </c>
      <c r="C10" s="387">
        <v>41798</v>
      </c>
      <c r="D10" s="387">
        <v>43251</v>
      </c>
      <c r="E10" s="390">
        <v>44629</v>
      </c>
      <c r="F10" s="387">
        <v>45945</v>
      </c>
      <c r="G10" s="387">
        <v>49229</v>
      </c>
      <c r="H10" s="387">
        <v>46884</v>
      </c>
      <c r="I10" s="390">
        <v>50919</v>
      </c>
      <c r="J10" s="387">
        <v>50570</v>
      </c>
      <c r="K10" s="387">
        <v>57602</v>
      </c>
      <c r="L10" s="387">
        <v>57740</v>
      </c>
      <c r="M10" s="393">
        <v>60654</v>
      </c>
      <c r="N10" s="402">
        <v>54895</v>
      </c>
      <c r="O10" s="402">
        <v>59772</v>
      </c>
      <c r="P10" s="402">
        <v>58140</v>
      </c>
      <c r="Q10" s="402">
        <f>M10*(1+1.15%)</f>
        <v>61351.521000000001</v>
      </c>
    </row>
    <row r="11" spans="1:17" ht="16.05" customHeight="1">
      <c r="A11" s="365" t="s">
        <v>6</v>
      </c>
      <c r="B11" s="387">
        <v>5687</v>
      </c>
      <c r="C11" s="387">
        <v>8523</v>
      </c>
      <c r="D11" s="387">
        <v>5697</v>
      </c>
      <c r="E11" s="390">
        <v>5719</v>
      </c>
      <c r="F11" s="387">
        <v>4221</v>
      </c>
      <c r="G11" s="387">
        <v>5699</v>
      </c>
      <c r="H11" s="387">
        <v>1345</v>
      </c>
      <c r="I11" s="390">
        <v>5477</v>
      </c>
      <c r="J11" s="387">
        <v>2592</v>
      </c>
      <c r="K11" s="387">
        <v>1186</v>
      </c>
      <c r="L11" s="387">
        <v>992</v>
      </c>
      <c r="M11" s="393">
        <v>313</v>
      </c>
      <c r="N11" s="402">
        <v>473</v>
      </c>
      <c r="O11" s="402">
        <v>511</v>
      </c>
      <c r="P11" s="402">
        <v>422</v>
      </c>
      <c r="Q11" s="402">
        <f>M11*(1+1.15%)</f>
        <v>316.59950000000003</v>
      </c>
    </row>
    <row r="12" spans="1:17" ht="16.05" customHeight="1">
      <c r="A12" s="365" t="s">
        <v>7</v>
      </c>
      <c r="B12" s="387">
        <v>2855</v>
      </c>
      <c r="C12" s="387">
        <v>2661</v>
      </c>
      <c r="D12" s="387">
        <v>1831</v>
      </c>
      <c r="E12" s="390">
        <v>4410</v>
      </c>
      <c r="F12" s="387">
        <v>4290</v>
      </c>
      <c r="G12" s="387">
        <v>4807</v>
      </c>
      <c r="H12" s="387">
        <v>4612</v>
      </c>
      <c r="I12" s="390">
        <v>5657</v>
      </c>
      <c r="J12" s="387">
        <v>15354</v>
      </c>
      <c r="K12" s="387">
        <v>5927</v>
      </c>
      <c r="L12" s="387">
        <v>4161</v>
      </c>
      <c r="M12" s="393">
        <v>4400</v>
      </c>
      <c r="N12" s="402">
        <v>4785</v>
      </c>
      <c r="O12" s="402">
        <v>4035</v>
      </c>
      <c r="P12" s="402">
        <v>8891</v>
      </c>
      <c r="Q12" s="402">
        <f>M12*(1+1.15%)</f>
        <v>4450.6000000000004</v>
      </c>
    </row>
    <row r="13" spans="1:17" ht="16.05" customHeight="1">
      <c r="A13" s="376" t="s">
        <v>8</v>
      </c>
      <c r="B13" s="396">
        <f t="shared" ref="B13:Q13" si="3">B9-B10+B11+B12</f>
        <v>82633</v>
      </c>
      <c r="C13" s="396">
        <f t="shared" si="3"/>
        <v>138282</v>
      </c>
      <c r="D13" s="396">
        <f t="shared" si="3"/>
        <v>97596</v>
      </c>
      <c r="E13" s="397">
        <f t="shared" si="3"/>
        <v>77954</v>
      </c>
      <c r="F13" s="396">
        <f t="shared" si="3"/>
        <v>87172</v>
      </c>
      <c r="G13" s="396">
        <f t="shared" si="3"/>
        <v>104212</v>
      </c>
      <c r="H13" s="396">
        <f t="shared" si="3"/>
        <v>98086</v>
      </c>
      <c r="I13" s="397">
        <f t="shared" si="3"/>
        <v>101843</v>
      </c>
      <c r="J13" s="396">
        <f t="shared" si="3"/>
        <v>115633</v>
      </c>
      <c r="K13" s="396">
        <f t="shared" si="3"/>
        <v>139177</v>
      </c>
      <c r="L13" s="396">
        <f t="shared" si="3"/>
        <v>118976</v>
      </c>
      <c r="M13" s="398">
        <f t="shared" si="3"/>
        <v>138094</v>
      </c>
      <c r="N13" s="403">
        <f t="shared" si="3"/>
        <v>106148</v>
      </c>
      <c r="O13" s="403">
        <f t="shared" si="3"/>
        <v>112288</v>
      </c>
      <c r="P13" s="403">
        <f t="shared" si="3"/>
        <v>106635</v>
      </c>
      <c r="Q13" s="403">
        <f t="shared" si="3"/>
        <v>139682.08099999998</v>
      </c>
    </row>
    <row r="14" spans="1:17" ht="16.05" customHeight="1">
      <c r="A14" s="365" t="s">
        <v>9</v>
      </c>
      <c r="B14" s="387">
        <v>18437</v>
      </c>
      <c r="C14" s="387">
        <v>30278</v>
      </c>
      <c r="D14" s="387">
        <v>16963</v>
      </c>
      <c r="E14" s="390">
        <v>16790</v>
      </c>
      <c r="F14" s="387">
        <v>19031</v>
      </c>
      <c r="G14" s="387">
        <v>23148</v>
      </c>
      <c r="H14" s="387">
        <v>20975</v>
      </c>
      <c r="I14" s="390">
        <v>21484</v>
      </c>
      <c r="J14" s="387">
        <v>24842</v>
      </c>
      <c r="K14" s="387">
        <v>23896</v>
      </c>
      <c r="L14" s="387">
        <v>23078</v>
      </c>
      <c r="M14" s="393">
        <v>22909</v>
      </c>
      <c r="N14" s="402">
        <v>22223</v>
      </c>
      <c r="O14" s="402">
        <v>22957</v>
      </c>
      <c r="P14" s="402">
        <v>23226</v>
      </c>
      <c r="Q14" s="402">
        <f>M14*(1+1.15%)</f>
        <v>23172.453500000003</v>
      </c>
    </row>
    <row r="15" spans="1:17" ht="16.05" customHeight="1">
      <c r="A15" s="376" t="s">
        <v>10</v>
      </c>
      <c r="B15" s="396">
        <f t="shared" ref="B15:Q15" si="4">B13-B14</f>
        <v>64196</v>
      </c>
      <c r="C15" s="396">
        <f t="shared" si="4"/>
        <v>108004</v>
      </c>
      <c r="D15" s="396">
        <f t="shared" si="4"/>
        <v>80633</v>
      </c>
      <c r="E15" s="397">
        <f t="shared" si="4"/>
        <v>61164</v>
      </c>
      <c r="F15" s="396">
        <f t="shared" si="4"/>
        <v>68141</v>
      </c>
      <c r="G15" s="396">
        <f t="shared" si="4"/>
        <v>81064</v>
      </c>
      <c r="H15" s="396">
        <f t="shared" si="4"/>
        <v>77111</v>
      </c>
      <c r="I15" s="397">
        <f t="shared" si="4"/>
        <v>80359</v>
      </c>
      <c r="J15" s="396">
        <f t="shared" si="4"/>
        <v>90791</v>
      </c>
      <c r="K15" s="396">
        <f t="shared" si="4"/>
        <v>115281</v>
      </c>
      <c r="L15" s="396">
        <f t="shared" si="4"/>
        <v>95898</v>
      </c>
      <c r="M15" s="398">
        <f t="shared" si="4"/>
        <v>115185</v>
      </c>
      <c r="N15" s="403">
        <f t="shared" si="4"/>
        <v>83925</v>
      </c>
      <c r="O15" s="403">
        <f t="shared" si="4"/>
        <v>89331</v>
      </c>
      <c r="P15" s="403">
        <f t="shared" si="4"/>
        <v>83409</v>
      </c>
      <c r="Q15" s="403">
        <f t="shared" si="4"/>
        <v>116509.62749999997</v>
      </c>
    </row>
    <row r="16" spans="1:17" ht="16.05" customHeight="1">
      <c r="A16" s="365" t="s">
        <v>11</v>
      </c>
      <c r="B16" s="387">
        <v>2619</v>
      </c>
      <c r="C16" s="387">
        <v>6748</v>
      </c>
      <c r="D16" s="387">
        <v>7113</v>
      </c>
      <c r="E16" s="390">
        <v>5617</v>
      </c>
      <c r="F16" s="387">
        <v>3961</v>
      </c>
      <c r="G16" s="387">
        <v>5794</v>
      </c>
      <c r="H16" s="387">
        <v>4955</v>
      </c>
      <c r="I16" s="390">
        <v>7339</v>
      </c>
      <c r="J16" s="387">
        <v>7490</v>
      </c>
      <c r="K16" s="387">
        <v>9923</v>
      </c>
      <c r="L16" s="387">
        <v>6787</v>
      </c>
      <c r="M16" s="393">
        <v>11372</v>
      </c>
      <c r="N16" s="402">
        <v>8866</v>
      </c>
      <c r="O16" s="402">
        <v>7383</v>
      </c>
      <c r="P16" s="402">
        <v>5556</v>
      </c>
      <c r="Q16" s="402">
        <f>M16*(1+1.15%)</f>
        <v>11502.778</v>
      </c>
    </row>
    <row r="17" spans="1:17" ht="16.05" customHeight="1" thickBot="1">
      <c r="A17" s="383" t="s">
        <v>12</v>
      </c>
      <c r="B17" s="406">
        <f t="shared" ref="B17:Q17" si="5">B15-B16</f>
        <v>61577</v>
      </c>
      <c r="C17" s="406">
        <f t="shared" si="5"/>
        <v>101256</v>
      </c>
      <c r="D17" s="406">
        <f t="shared" si="5"/>
        <v>73520</v>
      </c>
      <c r="E17" s="407">
        <f t="shared" si="5"/>
        <v>55547</v>
      </c>
      <c r="F17" s="406">
        <f t="shared" si="5"/>
        <v>64180</v>
      </c>
      <c r="G17" s="406">
        <f t="shared" si="5"/>
        <v>75270</v>
      </c>
      <c r="H17" s="406">
        <f t="shared" si="5"/>
        <v>72156</v>
      </c>
      <c r="I17" s="407">
        <f t="shared" si="5"/>
        <v>73020</v>
      </c>
      <c r="J17" s="406">
        <f t="shared" si="5"/>
        <v>83301</v>
      </c>
      <c r="K17" s="406">
        <f t="shared" si="5"/>
        <v>105358</v>
      </c>
      <c r="L17" s="406">
        <f t="shared" si="5"/>
        <v>89111</v>
      </c>
      <c r="M17" s="408">
        <f t="shared" si="5"/>
        <v>103813</v>
      </c>
      <c r="N17" s="409">
        <f t="shared" si="5"/>
        <v>75059</v>
      </c>
      <c r="O17" s="409">
        <f t="shared" si="5"/>
        <v>81948</v>
      </c>
      <c r="P17" s="409">
        <f t="shared" si="5"/>
        <v>77853</v>
      </c>
      <c r="Q17" s="409">
        <f t="shared" si="5"/>
        <v>105006.84949999997</v>
      </c>
    </row>
    <row r="18" spans="1:17" ht="16.05" customHeight="1" thickTop="1">
      <c r="A18" s="363"/>
      <c r="B18" s="364"/>
      <c r="C18" s="364"/>
      <c r="D18" s="364"/>
      <c r="E18" s="410"/>
      <c r="F18" s="410"/>
      <c r="G18" s="410"/>
      <c r="H18" s="410"/>
      <c r="I18" s="410"/>
      <c r="J18" s="410"/>
      <c r="K18" s="410"/>
      <c r="L18" s="410"/>
      <c r="M18" s="410"/>
      <c r="N18" s="410"/>
      <c r="O18" s="410"/>
      <c r="P18" s="410"/>
      <c r="Q18" s="410"/>
    </row>
    <row r="19" spans="1:17" ht="16.05" customHeight="1">
      <c r="A19" s="371" t="s">
        <v>405</v>
      </c>
      <c r="B19" s="399"/>
      <c r="C19" s="399"/>
      <c r="D19" s="399"/>
      <c r="E19" s="400"/>
      <c r="F19" s="399"/>
      <c r="G19" s="399"/>
      <c r="H19" s="399"/>
      <c r="I19" s="400"/>
      <c r="J19" s="399"/>
      <c r="K19" s="399"/>
      <c r="L19" s="399"/>
      <c r="M19" s="401"/>
      <c r="N19" s="399"/>
      <c r="O19" s="399"/>
      <c r="P19" s="399"/>
      <c r="Q19" s="399"/>
    </row>
    <row r="20" spans="1:17" ht="16.05" customHeight="1">
      <c r="A20" s="365" t="s">
        <v>14</v>
      </c>
      <c r="B20" s="388">
        <v>1.2</v>
      </c>
      <c r="C20" s="388">
        <v>2.09</v>
      </c>
      <c r="D20" s="388">
        <v>1.58</v>
      </c>
      <c r="E20" s="391">
        <v>1.2</v>
      </c>
      <c r="F20" s="388">
        <v>1.38</v>
      </c>
      <c r="G20" s="388">
        <v>1.64</v>
      </c>
      <c r="H20" s="388">
        <v>1.58</v>
      </c>
      <c r="I20" s="391">
        <v>1.6</v>
      </c>
      <c r="J20" s="388">
        <v>1.84</v>
      </c>
      <c r="K20" s="388">
        <v>2.34</v>
      </c>
      <c r="L20" s="388">
        <v>1.99</v>
      </c>
      <c r="M20" s="394">
        <v>2.34</v>
      </c>
      <c r="N20" s="404">
        <v>1.67</v>
      </c>
      <c r="O20" s="404">
        <v>1.86</v>
      </c>
      <c r="P20" s="404">
        <v>1.77</v>
      </c>
      <c r="Q20" s="404">
        <f>M20*(1+1.15%)</f>
        <v>2.3669099999999998</v>
      </c>
    </row>
    <row r="21" spans="1:17" ht="16.05" customHeight="1">
      <c r="A21" s="365" t="s">
        <v>15</v>
      </c>
      <c r="B21" s="388">
        <v>1.2</v>
      </c>
      <c r="C21" s="388">
        <v>2.08</v>
      </c>
      <c r="D21" s="388">
        <v>1.57</v>
      </c>
      <c r="E21" s="391">
        <v>1.17</v>
      </c>
      <c r="F21" s="388">
        <v>1.37</v>
      </c>
      <c r="G21" s="388">
        <v>1.63</v>
      </c>
      <c r="H21" s="388">
        <v>1.56</v>
      </c>
      <c r="I21" s="391">
        <v>1.58</v>
      </c>
      <c r="J21" s="388">
        <v>1.82</v>
      </c>
      <c r="K21" s="388">
        <v>2.3199999999999998</v>
      </c>
      <c r="L21" s="388">
        <v>1.98</v>
      </c>
      <c r="M21" s="394">
        <v>2.33</v>
      </c>
      <c r="N21" s="404">
        <v>1.67</v>
      </c>
      <c r="O21" s="404">
        <v>1.85</v>
      </c>
      <c r="P21" s="404">
        <v>1.77</v>
      </c>
      <c r="Q21" s="404">
        <f>M21*(1+1.15%)</f>
        <v>2.3567950000000004</v>
      </c>
    </row>
    <row r="22" spans="1:17" ht="16.05" customHeight="1">
      <c r="A22" s="365" t="s">
        <v>17</v>
      </c>
      <c r="B22" s="389">
        <v>44457</v>
      </c>
      <c r="C22" s="389">
        <v>48046</v>
      </c>
      <c r="D22" s="389">
        <v>46032</v>
      </c>
      <c r="E22" s="392">
        <v>47987</v>
      </c>
      <c r="F22" s="389">
        <v>43541</v>
      </c>
      <c r="G22" s="389">
        <v>45371</v>
      </c>
      <c r="H22" s="389">
        <v>45320</v>
      </c>
      <c r="I22" s="392">
        <v>45917</v>
      </c>
      <c r="J22" s="389">
        <v>44942</v>
      </c>
      <c r="K22" s="389">
        <v>44760</v>
      </c>
      <c r="L22" s="389">
        <v>44457</v>
      </c>
      <c r="M22" s="395">
        <v>44378</v>
      </c>
      <c r="N22" s="405">
        <v>44440</v>
      </c>
      <c r="O22" s="405">
        <v>43770</v>
      </c>
      <c r="P22" s="405">
        <v>43541</v>
      </c>
      <c r="Q22" s="405">
        <f>M22*(1+1.15%)</f>
        <v>44888.347000000002</v>
      </c>
    </row>
    <row r="23" spans="1:17" ht="16.05" customHeight="1">
      <c r="A23" s="365" t="s">
        <v>16</v>
      </c>
      <c r="B23" s="389">
        <v>44530</v>
      </c>
      <c r="C23" s="389">
        <v>48384</v>
      </c>
      <c r="D23" s="389">
        <v>46390</v>
      </c>
      <c r="E23" s="392">
        <v>47648</v>
      </c>
      <c r="F23" s="389">
        <v>43632</v>
      </c>
      <c r="G23" s="389">
        <v>45755</v>
      </c>
      <c r="H23" s="389">
        <v>45792</v>
      </c>
      <c r="I23" s="392">
        <v>45446</v>
      </c>
      <c r="J23" s="389">
        <v>45430</v>
      </c>
      <c r="K23" s="389">
        <v>45154</v>
      </c>
      <c r="L23" s="389">
        <v>44530</v>
      </c>
      <c r="M23" s="395">
        <v>45176</v>
      </c>
      <c r="N23" s="405">
        <v>44508</v>
      </c>
      <c r="O23" s="405">
        <v>43824</v>
      </c>
      <c r="P23" s="405">
        <v>43632</v>
      </c>
      <c r="Q23" s="405">
        <f>M23*(1+1.15%)</f>
        <v>45695.524000000005</v>
      </c>
    </row>
    <row r="31" spans="1:17" ht="16.05" customHeight="1">
      <c r="F31" s="11"/>
    </row>
    <row r="32" spans="1:17" ht="16.05" customHeight="1">
      <c r="D32" s="3"/>
    </row>
    <row r="38" spans="11:16" ht="16.05" customHeight="1">
      <c r="K38" s="7"/>
      <c r="L38" s="7"/>
      <c r="M38" s="7"/>
      <c r="N38" s="7"/>
      <c r="O38" s="7"/>
      <c r="P38" s="7"/>
    </row>
    <row r="39" spans="11:16" ht="16.05" customHeight="1">
      <c r="K39" s="3"/>
      <c r="L39" s="3"/>
      <c r="M39" s="3"/>
      <c r="N39" s="3"/>
      <c r="O39" s="3"/>
      <c r="P39" s="3"/>
    </row>
    <row r="40" spans="11:16" ht="16.05" customHeight="1">
      <c r="K40" s="3"/>
      <c r="L40" s="3"/>
      <c r="M40" s="3"/>
      <c r="N40" s="3"/>
      <c r="O40" s="3"/>
      <c r="P40" s="3"/>
    </row>
    <row r="41" spans="11:16" ht="16.05" customHeight="1">
      <c r="K41" s="3"/>
      <c r="L41" s="3"/>
      <c r="M41" s="3"/>
      <c r="N41" s="3"/>
      <c r="O41" s="3"/>
      <c r="P41" s="3"/>
    </row>
    <row r="42" spans="11:16" ht="16.05" customHeight="1">
      <c r="M42" s="3"/>
      <c r="O42" s="3"/>
      <c r="P42" s="3"/>
    </row>
    <row r="43" spans="11:16" ht="16.05" customHeight="1">
      <c r="K43" s="3"/>
      <c r="L43" s="3"/>
      <c r="M43" s="3"/>
      <c r="N43" s="3"/>
      <c r="O43" s="3"/>
      <c r="P43" s="3"/>
    </row>
    <row r="44" spans="11:16" ht="16.05" customHeight="1">
      <c r="K44" s="3"/>
      <c r="L44" s="3"/>
      <c r="M44" s="3"/>
      <c r="N44" s="3"/>
      <c r="O44" s="3"/>
      <c r="P44" s="3"/>
    </row>
    <row r="45" spans="11:16" ht="16.05" customHeight="1">
      <c r="K45" s="3"/>
      <c r="L45" s="3"/>
      <c r="M45" s="3"/>
      <c r="N45" s="3"/>
      <c r="O45" s="3"/>
      <c r="P45" s="3"/>
    </row>
    <row r="46" spans="11:16" ht="16.05" customHeight="1">
      <c r="K46" s="3"/>
      <c r="L46" s="3"/>
      <c r="M46" s="3"/>
      <c r="N46" s="3"/>
      <c r="O46" s="3"/>
      <c r="P46" s="3"/>
    </row>
    <row r="47" spans="11:16" ht="16.05" customHeight="1">
      <c r="K47" s="3"/>
      <c r="L47" s="3"/>
      <c r="M47" s="3"/>
      <c r="N47" s="3"/>
      <c r="O47" s="3"/>
      <c r="P47" s="3"/>
    </row>
    <row r="48" spans="11:16" ht="16.05" customHeight="1">
      <c r="K48" s="7"/>
      <c r="L48" s="7"/>
      <c r="M48" s="7"/>
      <c r="N48" s="7"/>
      <c r="O48" s="7"/>
      <c r="P48" s="7"/>
    </row>
    <row r="50" spans="11:16" ht="16.05" customHeight="1">
      <c r="K50" s="4"/>
      <c r="L50" s="4"/>
      <c r="M50" s="4"/>
      <c r="N50" s="4"/>
      <c r="O50" s="4"/>
      <c r="P50" s="4"/>
    </row>
    <row r="51" spans="11:16" ht="16.05" customHeight="1">
      <c r="K51" s="4"/>
      <c r="L51" s="4"/>
      <c r="M51" s="4"/>
      <c r="N51" s="4"/>
      <c r="O51" s="4"/>
      <c r="P51" s="4"/>
    </row>
    <row r="52" spans="11:16" ht="16.05" customHeight="1">
      <c r="K52" s="3"/>
      <c r="L52" s="3"/>
      <c r="M52" s="3"/>
      <c r="N52" s="3"/>
      <c r="O52" s="3"/>
      <c r="P52" s="3"/>
    </row>
    <row r="53" spans="11:16" ht="16.05" customHeight="1">
      <c r="K53" s="3"/>
      <c r="L53" s="3"/>
      <c r="M53" s="3"/>
      <c r="N53" s="3"/>
      <c r="O53" s="3"/>
      <c r="P53" s="3"/>
    </row>
    <row r="55" spans="11:16" ht="16.05" customHeight="1">
      <c r="K55" s="7"/>
      <c r="L55" s="7"/>
      <c r="M55" s="7"/>
      <c r="N55" s="7"/>
      <c r="O55" s="7"/>
      <c r="P55" s="7"/>
    </row>
    <row r="56" spans="11:16" ht="16.05" customHeight="1">
      <c r="K56" s="3"/>
      <c r="L56" s="3"/>
      <c r="M56" s="3"/>
      <c r="N56" s="3"/>
      <c r="O56" s="3"/>
      <c r="P56" s="3"/>
    </row>
    <row r="58" spans="11:16" ht="16.05" customHeight="1">
      <c r="K58" s="3"/>
      <c r="L58" s="3"/>
      <c r="M58" s="3"/>
      <c r="N58" s="3"/>
      <c r="O58" s="3"/>
      <c r="P58" s="3"/>
    </row>
    <row r="59" spans="11:16" ht="16.05" customHeight="1">
      <c r="K59" s="7"/>
      <c r="L59" s="7"/>
      <c r="M59" s="7"/>
      <c r="N59" s="7"/>
      <c r="O59" s="7"/>
      <c r="P59" s="7"/>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FF415-F01E-4B49-AF21-3639504724E6}">
  <sheetPr>
    <tabColor theme="9" tint="0.39997558519241921"/>
    <pageSetUpPr fitToPage="1"/>
  </sheetPr>
  <dimension ref="A1:AB55"/>
  <sheetViews>
    <sheetView showGridLines="0" topLeftCell="C1" workbookViewId="0">
      <selection activeCell="I6" sqref="I6"/>
    </sheetView>
  </sheetViews>
  <sheetFormatPr defaultColWidth="16.77734375" defaultRowHeight="16.05" customHeight="1"/>
  <cols>
    <col min="1" max="1" width="66.77734375" customWidth="1"/>
  </cols>
  <sheetData>
    <row r="1" spans="1:28" ht="30" customHeight="1">
      <c r="A1" s="291" t="s">
        <v>392</v>
      </c>
      <c r="B1" s="292"/>
      <c r="C1" s="292"/>
      <c r="D1" s="292"/>
      <c r="E1" s="292"/>
      <c r="F1" s="292"/>
      <c r="G1" s="292"/>
      <c r="H1" s="292"/>
      <c r="I1" s="292"/>
      <c r="J1" s="292"/>
      <c r="K1" s="292"/>
      <c r="L1" s="292"/>
      <c r="M1" s="292"/>
      <c r="N1" s="292"/>
      <c r="O1" s="315"/>
    </row>
    <row r="2" spans="1:28" s="36" customFormat="1" ht="16.05" customHeight="1">
      <c r="A2" s="232" t="s">
        <v>18</v>
      </c>
      <c r="B2" s="243">
        <v>2018</v>
      </c>
      <c r="C2" s="243">
        <v>2019</v>
      </c>
      <c r="D2" s="243">
        <v>2020</v>
      </c>
      <c r="E2" s="243">
        <v>2021</v>
      </c>
      <c r="F2" s="243">
        <v>2022</v>
      </c>
      <c r="G2" s="243">
        <v>2023</v>
      </c>
      <c r="H2" s="243">
        <v>2024</v>
      </c>
      <c r="I2" s="243" t="s">
        <v>59</v>
      </c>
      <c r="J2" s="243" t="s">
        <v>60</v>
      </c>
      <c r="K2" s="243" t="s">
        <v>61</v>
      </c>
      <c r="L2" s="243" t="s">
        <v>62</v>
      </c>
      <c r="M2" s="243" t="s">
        <v>63</v>
      </c>
      <c r="N2" s="243" t="s">
        <v>64</v>
      </c>
      <c r="O2" s="243" t="s">
        <v>65</v>
      </c>
    </row>
    <row r="3" spans="1:28" s="136" customFormat="1" ht="16.05" customHeight="1">
      <c r="A3" s="296" t="s">
        <v>19</v>
      </c>
      <c r="B3" s="297"/>
      <c r="C3" s="297"/>
      <c r="D3" s="297"/>
      <c r="E3" s="297"/>
      <c r="F3" s="297"/>
      <c r="G3" s="297"/>
      <c r="H3" s="297"/>
      <c r="I3" s="307"/>
      <c r="J3" s="297"/>
      <c r="K3" s="297"/>
      <c r="L3" s="297"/>
      <c r="M3" s="297"/>
      <c r="N3" s="297"/>
      <c r="O3" s="297"/>
      <c r="P3" s="176"/>
      <c r="AA3" s="137"/>
    </row>
    <row r="4" spans="1:28" s="116" customFormat="1" ht="16.05" customHeight="1">
      <c r="A4" s="273" t="s">
        <v>20</v>
      </c>
      <c r="B4" s="289">
        <v>41755</v>
      </c>
      <c r="C4" s="289">
        <v>37685</v>
      </c>
      <c r="D4" s="289">
        <v>33635</v>
      </c>
      <c r="E4" s="289">
        <v>93554</v>
      </c>
      <c r="F4" s="289">
        <v>93270</v>
      </c>
      <c r="G4" s="289">
        <v>199459</v>
      </c>
      <c r="H4" s="289">
        <v>159696</v>
      </c>
      <c r="I4" s="304">
        <f>'Cash Flow Stmt.'!I47</f>
        <v>242395.24540048058</v>
      </c>
      <c r="J4" s="300">
        <f>'Cash Flow Stmt.'!J47</f>
        <v>282088.05347632099</v>
      </c>
      <c r="K4" s="300">
        <f>'Cash Flow Stmt.'!K47</f>
        <v>198776.51763533909</v>
      </c>
      <c r="L4" s="300">
        <f>'Cash Flow Stmt.'!L47</f>
        <v>140449.94068312924</v>
      </c>
      <c r="M4" s="300">
        <f>'Cash Flow Stmt.'!M47</f>
        <v>155880.79429523996</v>
      </c>
      <c r="N4" s="300">
        <f>'Cash Flow Stmt.'!N47</f>
        <v>122644.33043673474</v>
      </c>
      <c r="O4" s="300">
        <f>'Cash Flow Stmt.'!O47</f>
        <v>233308.3026984293</v>
      </c>
      <c r="P4" s="160"/>
      <c r="X4" s="139"/>
    </row>
    <row r="5" spans="1:28" s="116" customFormat="1" ht="16.05" customHeight="1">
      <c r="A5" s="273" t="s">
        <v>22</v>
      </c>
      <c r="B5" s="289">
        <v>4842</v>
      </c>
      <c r="C5" s="289">
        <v>4720</v>
      </c>
      <c r="D5" s="289">
        <v>5224</v>
      </c>
      <c r="E5" s="289">
        <v>6871</v>
      </c>
      <c r="F5" s="289">
        <v>5288</v>
      </c>
      <c r="G5" s="289">
        <v>10632</v>
      </c>
      <c r="H5" s="289">
        <v>13858</v>
      </c>
      <c r="I5" s="304">
        <f>'Inc. Stmt.'!I5*'Common Bal. Sheet'!B5</f>
        <v>11832.574079986603</v>
      </c>
      <c r="J5" s="300">
        <f>'Inc. Stmt.'!J5*'Common Bal. Sheet'!C5</f>
        <v>16352.805267362786</v>
      </c>
      <c r="K5" s="300">
        <f>'Inc. Stmt.'!K5*'Common Bal. Sheet'!D5</f>
        <v>12790.516528945127</v>
      </c>
      <c r="L5" s="300">
        <f>'Inc. Stmt.'!L5*'Common Bal. Sheet'!E5</f>
        <v>12402.580592858385</v>
      </c>
      <c r="M5" s="300">
        <f>'Inc. Stmt.'!M5*'Common Bal. Sheet'!F5</f>
        <v>12185.962254040229</v>
      </c>
      <c r="N5" s="300">
        <f>'Inc. Stmt.'!N5*'Common Bal. Sheet'!G5</f>
        <v>7951.958485747622</v>
      </c>
      <c r="O5" s="300">
        <f>'Inc. Stmt.'!O5*'Common Bal. Sheet'!H5</f>
        <v>16856.417965628894</v>
      </c>
      <c r="P5" s="160"/>
      <c r="X5" s="142"/>
      <c r="Y5" s="140"/>
      <c r="Z5" s="139"/>
    </row>
    <row r="6" spans="1:28" s="116" customFormat="1" ht="16.05" customHeight="1">
      <c r="A6" s="273" t="s">
        <v>23</v>
      </c>
      <c r="B6" s="289">
        <v>668961</v>
      </c>
      <c r="C6" s="289">
        <v>753567</v>
      </c>
      <c r="D6" s="289">
        <v>844635</v>
      </c>
      <c r="E6" s="289">
        <v>1203743</v>
      </c>
      <c r="F6" s="289">
        <v>1422680</v>
      </c>
      <c r="G6" s="289">
        <v>1533223</v>
      </c>
      <c r="H6" s="289">
        <v>1937732</v>
      </c>
      <c r="I6" s="304">
        <v>2124247</v>
      </c>
      <c r="J6" s="300">
        <f>ROUND('Inc. Stmt.'!J8/'Ratio Analysis'!K40,0)</f>
        <v>2136758</v>
      </c>
      <c r="K6" s="300">
        <f>ROUND('Inc. Stmt.'!K8/'Ratio Analysis'!L40,0)</f>
        <v>2307805</v>
      </c>
      <c r="L6" s="300">
        <f>ROUND('Inc. Stmt.'!L8/'Ratio Analysis'!M40,0)</f>
        <v>2527881</v>
      </c>
      <c r="M6" s="300">
        <f>ROUND('Inc. Stmt.'!M8/'Ratio Analysis'!N40,0)</f>
        <v>2605248</v>
      </c>
      <c r="N6" s="300">
        <f>ROUND('Inc. Stmt.'!N8/'Ratio Analysis'!O40,0)</f>
        <v>2748066</v>
      </c>
      <c r="O6" s="300">
        <f>ROUND('Inc. Stmt.'!O8/'Ratio Analysis'!P40,0)</f>
        <v>2848745</v>
      </c>
      <c r="P6" s="160"/>
      <c r="X6" s="140"/>
      <c r="Y6" s="140"/>
      <c r="Z6" s="139"/>
      <c r="AB6" s="138"/>
    </row>
    <row r="7" spans="1:28" s="116" customFormat="1" ht="16.05" customHeight="1">
      <c r="A7" s="273" t="s">
        <v>24</v>
      </c>
      <c r="B7" s="289">
        <v>16793</v>
      </c>
      <c r="C7" s="289">
        <v>14686</v>
      </c>
      <c r="D7" s="289">
        <v>22242</v>
      </c>
      <c r="E7" s="289">
        <v>26008</v>
      </c>
      <c r="F7" s="289">
        <v>23910</v>
      </c>
      <c r="G7" s="289">
        <v>16619</v>
      </c>
      <c r="H7" s="289">
        <v>13629</v>
      </c>
      <c r="I7" s="304">
        <f>'Bal. Sheet'!H7*(1+'Common Bal. Sheet'!$B$7)</f>
        <v>13855.337939431914</v>
      </c>
      <c r="J7" s="300">
        <f>'Bal. Sheet'!I7*(1+'Common Bal. Sheet'!$B$7)</f>
        <v>14085.434691896793</v>
      </c>
      <c r="K7" s="300">
        <f>'Bal. Sheet'!J7*(1+'Common Bal. Sheet'!$B$7)</f>
        <v>14319.352680316098</v>
      </c>
      <c r="L7" s="300">
        <f>'Bal. Sheet'!K7*(1+'Common Bal. Sheet'!$B$7)</f>
        <v>14557.155364273953</v>
      </c>
      <c r="M7" s="300">
        <f>'Bal. Sheet'!L7*(1+'Common Bal. Sheet'!$B$7)</f>
        <v>14798.907257233084</v>
      </c>
      <c r="N7" s="300">
        <f>'Bal. Sheet'!M7*(1+'Common Bal. Sheet'!$B$7)</f>
        <v>15044.673944036675</v>
      </c>
      <c r="O7" s="300">
        <f>'Bal. Sheet'!N7*(1+'Common Bal. Sheet'!$B$7)</f>
        <v>15294.522098700865</v>
      </c>
      <c r="P7" s="160"/>
      <c r="X7" s="140"/>
      <c r="Y7" s="140"/>
      <c r="Z7" s="139"/>
    </row>
    <row r="8" spans="1:28" s="131" customFormat="1" ht="16.05" customHeight="1">
      <c r="A8" s="276" t="s">
        <v>25</v>
      </c>
      <c r="B8" s="295">
        <f t="shared" ref="B8:N8" si="0">SUM(B4:B7)</f>
        <v>732351</v>
      </c>
      <c r="C8" s="295">
        <f t="shared" si="0"/>
        <v>810658</v>
      </c>
      <c r="D8" s="295">
        <f t="shared" si="0"/>
        <v>905736</v>
      </c>
      <c r="E8" s="295">
        <f t="shared" si="0"/>
        <v>1330176</v>
      </c>
      <c r="F8" s="295">
        <f t="shared" si="0"/>
        <v>1545148</v>
      </c>
      <c r="G8" s="295">
        <f t="shared" si="0"/>
        <v>1759933</v>
      </c>
      <c r="H8" s="295">
        <f t="shared" si="0"/>
        <v>2124915</v>
      </c>
      <c r="I8" s="305">
        <f t="shared" si="0"/>
        <v>2392330.157419899</v>
      </c>
      <c r="J8" s="301">
        <f t="shared" si="0"/>
        <v>2449284.2934355806</v>
      </c>
      <c r="K8" s="301">
        <f t="shared" si="0"/>
        <v>2533691.3868446006</v>
      </c>
      <c r="L8" s="301">
        <f t="shared" si="0"/>
        <v>2695290.6766402619</v>
      </c>
      <c r="M8" s="301">
        <f t="shared" si="0"/>
        <v>2788113.6638065134</v>
      </c>
      <c r="N8" s="301">
        <f t="shared" si="0"/>
        <v>2893706.9628665186</v>
      </c>
      <c r="O8" s="301">
        <f t="shared" ref="O8" si="1">SUM(O4:O7)</f>
        <v>3114204.2427627593</v>
      </c>
      <c r="P8" s="161"/>
      <c r="X8" s="145"/>
      <c r="Y8" s="145"/>
      <c r="Z8" s="146"/>
    </row>
    <row r="9" spans="1:28" s="116" customFormat="1" ht="16.05" customHeight="1">
      <c r="A9" s="273" t="s">
        <v>74</v>
      </c>
      <c r="B9" s="289">
        <v>20269</v>
      </c>
      <c r="C9" s="289">
        <v>30294</v>
      </c>
      <c r="D9" s="289">
        <v>46443</v>
      </c>
      <c r="E9" s="289">
        <v>55616</v>
      </c>
      <c r="F9" s="289">
        <v>74224</v>
      </c>
      <c r="G9" s="289">
        <v>84654</v>
      </c>
      <c r="H9" s="289">
        <v>60582</v>
      </c>
      <c r="I9" s="304">
        <v>65000</v>
      </c>
      <c r="J9" s="300">
        <v>70000</v>
      </c>
      <c r="K9" s="300">
        <v>75000</v>
      </c>
      <c r="L9" s="300">
        <v>80000</v>
      </c>
      <c r="M9" s="300">
        <v>85000</v>
      </c>
      <c r="N9" s="300">
        <v>90000</v>
      </c>
      <c r="O9" s="300">
        <v>95000</v>
      </c>
      <c r="P9" s="160"/>
      <c r="X9" s="140"/>
      <c r="Y9" s="140"/>
      <c r="Z9" s="139"/>
      <c r="AB9" s="138"/>
    </row>
    <row r="10" spans="1:28" s="116" customFormat="1" ht="16.05" customHeight="1">
      <c r="A10" s="273" t="s">
        <v>27</v>
      </c>
      <c r="B10" s="289">
        <v>0</v>
      </c>
      <c r="C10" s="289">
        <v>3462</v>
      </c>
      <c r="D10" s="289">
        <v>0</v>
      </c>
      <c r="E10" s="289">
        <v>4596</v>
      </c>
      <c r="F10" s="289">
        <v>3458</v>
      </c>
      <c r="G10" s="289">
        <v>7255</v>
      </c>
      <c r="H10" s="289">
        <v>7242</v>
      </c>
      <c r="I10" s="304">
        <f>'Inc. Stmt.'!I5*'Common Bal. Sheet'!$B$10</f>
        <v>4876.393945183424</v>
      </c>
      <c r="J10" s="300">
        <f>'Inc. Stmt.'!J5*'Common Bal. Sheet'!$B$10</f>
        <v>4906.4665833652944</v>
      </c>
      <c r="K10" s="300">
        <f>'Inc. Stmt.'!K5*'Common Bal. Sheet'!$B$10</f>
        <v>4997.4368448035329</v>
      </c>
      <c r="L10" s="300">
        <f>'Inc. Stmt.'!L5*'Common Bal. Sheet'!$B$10</f>
        <v>5397.9714013656894</v>
      </c>
      <c r="M10" s="300">
        <f>'Inc. Stmt.'!M5*'Common Bal. Sheet'!$B$10</f>
        <v>5795.9108041637219</v>
      </c>
      <c r="N10" s="300">
        <f>'Inc. Stmt.'!N5*'Common Bal. Sheet'!$B$10</f>
        <v>6157.6204525608946</v>
      </c>
      <c r="O10" s="300">
        <f>'Inc. Stmt.'!O5*'Common Bal. Sheet'!$B$10</f>
        <v>6565.590115829551</v>
      </c>
      <c r="P10" s="160"/>
      <c r="X10" s="140"/>
      <c r="Y10" s="140"/>
      <c r="Z10" s="139"/>
    </row>
    <row r="11" spans="1:28" s="116" customFormat="1" ht="16.05" customHeight="1">
      <c r="A11" s="273" t="s">
        <v>28</v>
      </c>
      <c r="B11" s="289">
        <v>4690</v>
      </c>
      <c r="C11" s="289">
        <v>4309</v>
      </c>
      <c r="D11" s="289">
        <v>3595</v>
      </c>
      <c r="E11" s="289">
        <v>2812</v>
      </c>
      <c r="F11" s="289">
        <v>2919</v>
      </c>
      <c r="G11" s="289">
        <v>7054</v>
      </c>
      <c r="H11" s="289">
        <v>6551</v>
      </c>
      <c r="I11" s="304">
        <f>H11+-'Cash Flow Stmt.'!I27-'Cash Flow Stmt.'!I5</f>
        <v>7910.132440436877</v>
      </c>
      <c r="J11" s="300">
        <f>I11+-'Cash Flow Stmt.'!J27-'Cash Flow Stmt.'!J5</f>
        <v>9277.6466274229388</v>
      </c>
      <c r="K11" s="300">
        <f>J11+-'Cash Flow Stmt.'!K27-'Cash Flow Stmt.'!K5</f>
        <v>10670.515745701592</v>
      </c>
      <c r="L11" s="300">
        <f>K11+-'Cash Flow Stmt.'!L27-'Cash Flow Stmt.'!L5</f>
        <v>12175.020534817981</v>
      </c>
      <c r="M11" s="300">
        <f>L11+-'Cash Flow Stmt.'!M27-'Cash Flow Stmt.'!M5</f>
        <v>13790.437682072519</v>
      </c>
      <c r="N11" s="300">
        <f>M11+-'Cash Flow Stmt.'!N27-'Cash Flow Stmt.'!N5</f>
        <v>15506.669349786625</v>
      </c>
      <c r="O11" s="300">
        <f>N11+-'Cash Flow Stmt.'!O27-'Cash Flow Stmt.'!O5</f>
        <v>17336.608976762356</v>
      </c>
      <c r="P11" s="160"/>
      <c r="X11" s="140"/>
      <c r="Y11" s="140"/>
      <c r="Z11" s="139"/>
      <c r="AB11" s="138"/>
    </row>
    <row r="12" spans="1:28" s="116" customFormat="1" ht="16.05" customHeight="1">
      <c r="A12" s="273" t="s">
        <v>29</v>
      </c>
      <c r="B12" s="289">
        <v>16499</v>
      </c>
      <c r="C12" s="289">
        <v>15262</v>
      </c>
      <c r="D12" s="289">
        <v>15376</v>
      </c>
      <c r="E12" s="289">
        <v>15741</v>
      </c>
      <c r="F12" s="289">
        <v>16448</v>
      </c>
      <c r="G12" s="289">
        <v>15306</v>
      </c>
      <c r="H12" s="289">
        <v>13984</v>
      </c>
      <c r="I12" s="304">
        <f>H12*'Common Bal. Sheet'!$B$12+H12</f>
        <v>14162.373542758491</v>
      </c>
      <c r="J12" s="300">
        <f>I12*'Common Bal. Sheet'!$B$12+I12</f>
        <v>14343.022337287304</v>
      </c>
      <c r="K12" s="300">
        <f>J12*'Common Bal. Sheet'!$B$12+J12</f>
        <v>14525.975405663026</v>
      </c>
      <c r="L12" s="300">
        <f>K12*'Common Bal. Sheet'!$B$12+K12</f>
        <v>14711.262140154646</v>
      </c>
      <c r="M12" s="300">
        <f>L12*'Common Bal. Sheet'!$B$12+L12</f>
        <v>14898.912307945566</v>
      </c>
      <c r="N12" s="300">
        <f>M12*'Common Bal. Sheet'!$B$12+M12</f>
        <v>15088.95605591584</v>
      </c>
      <c r="O12" s="300">
        <f>N12*'Common Bal. Sheet'!$B$12+N12</f>
        <v>15281.423915485411</v>
      </c>
      <c r="P12" s="160"/>
      <c r="X12" s="140"/>
      <c r="Y12" s="140"/>
      <c r="Z12" s="139"/>
      <c r="AB12" s="138"/>
    </row>
    <row r="13" spans="1:28" s="116" customFormat="1" ht="16.05" customHeight="1">
      <c r="A13" s="273" t="s">
        <v>30</v>
      </c>
      <c r="B13" s="289">
        <v>856</v>
      </c>
      <c r="C13" s="289">
        <v>707</v>
      </c>
      <c r="D13" s="289">
        <v>622</v>
      </c>
      <c r="E13" s="289">
        <v>537</v>
      </c>
      <c r="F13" s="289">
        <v>452</v>
      </c>
      <c r="G13" s="289">
        <v>367</v>
      </c>
      <c r="H13" s="289">
        <v>282</v>
      </c>
      <c r="I13" s="304">
        <f>H13-85</f>
        <v>197</v>
      </c>
      <c r="J13" s="300">
        <f>I13-85</f>
        <v>112</v>
      </c>
      <c r="K13" s="300">
        <f>J13-85</f>
        <v>27</v>
      </c>
      <c r="L13" s="300">
        <v>0</v>
      </c>
      <c r="M13" s="300">
        <v>0</v>
      </c>
      <c r="N13" s="300">
        <v>0</v>
      </c>
      <c r="O13" s="300">
        <v>0</v>
      </c>
      <c r="P13" s="160"/>
      <c r="X13" s="140"/>
      <c r="Y13" s="140"/>
      <c r="Z13" s="139"/>
      <c r="AB13" s="138"/>
    </row>
    <row r="14" spans="1:28" s="116" customFormat="1" ht="16.05" customHeight="1">
      <c r="A14" s="273" t="s">
        <v>31</v>
      </c>
      <c r="B14" s="289">
        <v>680</v>
      </c>
      <c r="C14" s="289">
        <v>680</v>
      </c>
      <c r="D14" s="289">
        <v>680</v>
      </c>
      <c r="E14" s="289">
        <v>680</v>
      </c>
      <c r="F14" s="289">
        <v>680</v>
      </c>
      <c r="G14" s="289">
        <v>680</v>
      </c>
      <c r="H14" s="289">
        <v>680</v>
      </c>
      <c r="I14" s="304">
        <f t="shared" ref="I14:N14" si="2">H14</f>
        <v>680</v>
      </c>
      <c r="J14" s="300">
        <f t="shared" si="2"/>
        <v>680</v>
      </c>
      <c r="K14" s="300">
        <f t="shared" si="2"/>
        <v>680</v>
      </c>
      <c r="L14" s="300">
        <f t="shared" si="2"/>
        <v>680</v>
      </c>
      <c r="M14" s="300">
        <f t="shared" si="2"/>
        <v>680</v>
      </c>
      <c r="N14" s="300">
        <f t="shared" si="2"/>
        <v>680</v>
      </c>
      <c r="O14" s="300">
        <f t="shared" ref="O14" si="3">N14</f>
        <v>680</v>
      </c>
      <c r="P14" s="160"/>
      <c r="X14" s="141"/>
      <c r="Y14" s="141"/>
      <c r="Z14" s="139"/>
    </row>
    <row r="15" spans="1:28" s="116" customFormat="1" ht="16.05" customHeight="1">
      <c r="A15" s="273" t="s">
        <v>32</v>
      </c>
      <c r="B15" s="289">
        <v>8681</v>
      </c>
      <c r="C15" s="289">
        <v>10167</v>
      </c>
      <c r="D15" s="289">
        <v>13857</v>
      </c>
      <c r="E15" s="289">
        <v>11709</v>
      </c>
      <c r="F15" s="289">
        <v>12346</v>
      </c>
      <c r="G15" s="289">
        <v>27583</v>
      </c>
      <c r="H15" s="289">
        <v>35758</v>
      </c>
      <c r="I15" s="304">
        <f>'Inc. Stmt.'!I5*'Common Bal. Sheet'!$B$15</f>
        <v>24754.405222286001</v>
      </c>
      <c r="J15" s="300">
        <f>'Inc. Stmt.'!J5*'Common Bal. Sheet'!$B$15</f>
        <v>24907.065216541083</v>
      </c>
      <c r="K15" s="300">
        <f>'Inc. Stmt.'!K5*'Common Bal. Sheet'!$B$15</f>
        <v>25368.864394403601</v>
      </c>
      <c r="L15" s="300">
        <f>'Inc. Stmt.'!L5*'Common Bal. Sheet'!$B$15</f>
        <v>27402.128078618782</v>
      </c>
      <c r="M15" s="300">
        <f>'Inc. Stmt.'!M5*'Common Bal. Sheet'!$B$15</f>
        <v>29422.217788660953</v>
      </c>
      <c r="N15" s="300">
        <f>'Inc. Stmt.'!N5*'Common Bal. Sheet'!$B$15</f>
        <v>31258.391672454381</v>
      </c>
      <c r="O15" s="300">
        <f>'Inc. Stmt.'!O5*'Common Bal. Sheet'!$B$15</f>
        <v>33329.39874786244</v>
      </c>
      <c r="P15" s="160"/>
      <c r="X15" s="141"/>
      <c r="Y15" s="141"/>
      <c r="Z15" s="139"/>
    </row>
    <row r="16" spans="1:28" s="131" customFormat="1" ht="16.05" customHeight="1" thickBot="1">
      <c r="A16" s="298" t="s">
        <v>33</v>
      </c>
      <c r="B16" s="299">
        <v>784026</v>
      </c>
      <c r="C16" s="299">
        <v>875539</v>
      </c>
      <c r="D16" s="299">
        <v>988847</v>
      </c>
      <c r="E16" s="299">
        <v>1421867</v>
      </c>
      <c r="F16" s="299">
        <v>1655675</v>
      </c>
      <c r="G16" s="299">
        <v>1902832</v>
      </c>
      <c r="H16" s="299">
        <v>2249994</v>
      </c>
      <c r="I16" s="306">
        <f t="shared" ref="I16:N16" si="4">SUM(I8:I15)</f>
        <v>2509910.4625705644</v>
      </c>
      <c r="J16" s="302">
        <f t="shared" si="4"/>
        <v>2573510.494200197</v>
      </c>
      <c r="K16" s="302">
        <f t="shared" si="4"/>
        <v>2664961.1792351725</v>
      </c>
      <c r="L16" s="302">
        <f t="shared" si="4"/>
        <v>2835657.0587952188</v>
      </c>
      <c r="M16" s="302">
        <f t="shared" si="4"/>
        <v>2937701.1423893562</v>
      </c>
      <c r="N16" s="302">
        <f t="shared" si="4"/>
        <v>3052398.6003972366</v>
      </c>
      <c r="O16" s="302">
        <f t="shared" ref="O16" si="5">SUM(O8:O15)</f>
        <v>3282397.2645186987</v>
      </c>
      <c r="P16" s="161"/>
      <c r="Y16" s="147"/>
      <c r="Z16" s="146"/>
      <c r="AB16" s="144"/>
    </row>
    <row r="17" spans="1:28" s="136" customFormat="1" ht="16.05" customHeight="1" thickTop="1">
      <c r="A17" s="296" t="s">
        <v>393</v>
      </c>
      <c r="B17" s="297"/>
      <c r="C17" s="297"/>
      <c r="D17" s="297"/>
      <c r="E17" s="297"/>
      <c r="F17" s="297"/>
      <c r="G17" s="297"/>
      <c r="H17" s="297"/>
      <c r="I17" s="307"/>
      <c r="J17" s="297"/>
      <c r="K17" s="297"/>
      <c r="L17" s="297"/>
      <c r="M17" s="297"/>
      <c r="N17" s="297"/>
      <c r="O17" s="297"/>
      <c r="P17" s="176"/>
      <c r="Y17" s="148"/>
      <c r="Z17" s="149"/>
    </row>
    <row r="18" spans="1:28" s="116" customFormat="1" ht="16.05" customHeight="1">
      <c r="A18" s="273" t="s">
        <v>35</v>
      </c>
      <c r="B18" s="289">
        <v>26091</v>
      </c>
      <c r="C18" s="289">
        <v>30044</v>
      </c>
      <c r="D18" s="289">
        <v>24521</v>
      </c>
      <c r="E18" s="289">
        <v>45682</v>
      </c>
      <c r="F18" s="289">
        <v>51804</v>
      </c>
      <c r="G18" s="289">
        <v>54321</v>
      </c>
      <c r="H18" s="289">
        <v>59746</v>
      </c>
      <c r="I18" s="304">
        <f>'Inc. Stmt.'!I8*'random calculations'!$E$20</f>
        <v>61545.206679001843</v>
      </c>
      <c r="J18" s="300">
        <f>'Inc. Stmt.'!J8*'random calculations'!$E$20</f>
        <v>63373.287196307319</v>
      </c>
      <c r="K18" s="300">
        <f>'Inc. Stmt.'!K8*'random calculations'!$E$20</f>
        <v>65470.402746293919</v>
      </c>
      <c r="L18" s="300">
        <f>'Inc. Stmt.'!L8*'random calculations'!$E$20</f>
        <v>71713.748720433825</v>
      </c>
      <c r="M18" s="300">
        <f>'Inc. Stmt.'!M8*'random calculations'!$E$20</f>
        <v>77827.988439376961</v>
      </c>
      <c r="N18" s="300">
        <f>'Inc. Stmt.'!N8*'random calculations'!$E$20</f>
        <v>82685.056687156539</v>
      </c>
      <c r="O18" s="300">
        <f>'Inc. Stmt.'!O8*'random calculations'!$E$20</f>
        <v>88163.308390698905</v>
      </c>
      <c r="P18" s="160"/>
      <c r="X18" s="140"/>
      <c r="Y18" s="141"/>
      <c r="Z18" s="139"/>
      <c r="AB18" s="138"/>
    </row>
    <row r="19" spans="1:28" s="116" customFormat="1" ht="16.05" customHeight="1">
      <c r="A19" s="273" t="s">
        <v>36</v>
      </c>
      <c r="B19" s="289">
        <v>29201</v>
      </c>
      <c r="C19" s="289">
        <v>24656</v>
      </c>
      <c r="D19" s="289">
        <v>40416</v>
      </c>
      <c r="E19" s="289">
        <v>61351</v>
      </c>
      <c r="F19" s="289">
        <v>91281</v>
      </c>
      <c r="G19" s="289">
        <v>96457</v>
      </c>
      <c r="H19" s="289">
        <v>110068</v>
      </c>
      <c r="I19" s="304">
        <f>'Inc. Stmt.'!I10*'random calculations'!$B$25</f>
        <v>109933.0525613991</v>
      </c>
      <c r="J19" s="300">
        <f>'Inc. Stmt.'!J10*'random calculations'!$B$25</f>
        <v>98857.945791618025</v>
      </c>
      <c r="K19" s="300">
        <f>'Inc. Stmt.'!K10*'random calculations'!$B$25</f>
        <v>97334.498169497572</v>
      </c>
      <c r="L19" s="300">
        <f>'Inc. Stmt.'!L10*'random calculations'!$B$25</f>
        <v>101510.29560134224</v>
      </c>
      <c r="M19" s="300">
        <f>'Inc. Stmt.'!M10*'random calculations'!$B$25</f>
        <v>105770.69246656349</v>
      </c>
      <c r="N19" s="300">
        <f>'Inc. Stmt.'!N10*'random calculations'!$B$25</f>
        <v>112371.60149976013</v>
      </c>
      <c r="O19" s="300">
        <f>'Inc. Stmt.'!O10*'random calculations'!$B$25</f>
        <v>119816.71845329867</v>
      </c>
      <c r="P19" s="160"/>
      <c r="X19" s="140"/>
      <c r="Y19" s="140"/>
      <c r="Z19" s="139"/>
    </row>
    <row r="20" spans="1:28" s="116" customFormat="1" ht="16.05" customHeight="1">
      <c r="A20" s="273" t="s">
        <v>37</v>
      </c>
      <c r="B20" s="289">
        <v>31978</v>
      </c>
      <c r="C20" s="289">
        <v>23954</v>
      </c>
      <c r="D20" s="289">
        <v>38131</v>
      </c>
      <c r="E20" s="289">
        <v>64610</v>
      </c>
      <c r="F20" s="289">
        <v>29112</v>
      </c>
      <c r="G20" s="289">
        <v>43148</v>
      </c>
      <c r="H20" s="289">
        <v>37068</v>
      </c>
      <c r="I20" s="304">
        <f>'Inc. Stmt.'!I5*'Common Bal. Sheet'!$B$20</f>
        <v>67330.422163021081</v>
      </c>
      <c r="J20" s="300">
        <f>'Inc. Stmt.'!J5*'Common Bal. Sheet'!$B$20</f>
        <v>67745.647726645024</v>
      </c>
      <c r="K20" s="300">
        <f>'Inc. Stmt.'!K5*'Common Bal. Sheet'!$B$20</f>
        <v>69001.712387492807</v>
      </c>
      <c r="L20" s="300">
        <f>'Inc. Stmt.'!L5*'Common Bal. Sheet'!$B$20</f>
        <v>74532.061470721761</v>
      </c>
      <c r="M20" s="300">
        <f>'Inc. Stmt.'!M5*'Common Bal. Sheet'!$B$20</f>
        <v>80026.578174434107</v>
      </c>
      <c r="N20" s="300">
        <f>'Inc. Stmt.'!N5*'Common Bal. Sheet'!$B$20</f>
        <v>85020.855421266242</v>
      </c>
      <c r="O20" s="300">
        <f>'Inc. Stmt.'!O5*'Common Bal. Sheet'!$B$20</f>
        <v>90653.864149922374</v>
      </c>
      <c r="P20" s="160"/>
      <c r="X20" s="140"/>
      <c r="Y20" s="140"/>
      <c r="Z20" s="139"/>
      <c r="AB20" s="138"/>
    </row>
    <row r="21" spans="1:28" s="116" customFormat="1" ht="16.05" customHeight="1">
      <c r="A21" s="273" t="s">
        <v>38</v>
      </c>
      <c r="B21" s="289">
        <v>0</v>
      </c>
      <c r="C21" s="289">
        <v>3564</v>
      </c>
      <c r="D21" s="289">
        <v>2591</v>
      </c>
      <c r="E21" s="289">
        <v>4745</v>
      </c>
      <c r="F21" s="289">
        <v>3582</v>
      </c>
      <c r="G21" s="289">
        <v>7898</v>
      </c>
      <c r="H21" s="289">
        <v>8343</v>
      </c>
      <c r="I21" s="304">
        <f t="shared" ref="I21:N21" si="6">H21*1.05</f>
        <v>8760.15</v>
      </c>
      <c r="J21" s="300">
        <f t="shared" si="6"/>
        <v>9198.1574999999993</v>
      </c>
      <c r="K21" s="300">
        <f t="shared" si="6"/>
        <v>9658.0653750000001</v>
      </c>
      <c r="L21" s="300">
        <f t="shared" si="6"/>
        <v>10140.96864375</v>
      </c>
      <c r="M21" s="300">
        <f t="shared" si="6"/>
        <v>10648.017075937501</v>
      </c>
      <c r="N21" s="300">
        <f t="shared" si="6"/>
        <v>11180.417929734376</v>
      </c>
      <c r="O21" s="300">
        <f t="shared" ref="O21" si="7">N21*1.05</f>
        <v>11739.438826221096</v>
      </c>
      <c r="P21" s="160"/>
      <c r="X21" s="140"/>
      <c r="Y21" s="140"/>
      <c r="Z21" s="139"/>
      <c r="AB21" s="138"/>
    </row>
    <row r="22" spans="1:28" s="116" customFormat="1" ht="16.05" customHeight="1">
      <c r="A22" s="273" t="s">
        <v>75</v>
      </c>
      <c r="B22" s="289">
        <v>200386</v>
      </c>
      <c r="C22" s="289">
        <v>164642</v>
      </c>
      <c r="D22" s="289">
        <v>106687</v>
      </c>
      <c r="E22" s="289">
        <v>738</v>
      </c>
      <c r="F22" s="289">
        <v>17395</v>
      </c>
      <c r="G22" s="289">
        <v>-2328</v>
      </c>
      <c r="H22" s="289">
        <v>22645</v>
      </c>
      <c r="I22" s="304">
        <f>'Q Bal. Sheet'!Q24</f>
        <v>63474.659500000002</v>
      </c>
      <c r="J22" s="300">
        <f>'Inc. Stmt.'!J5*2%</f>
        <v>42124.650750000001</v>
      </c>
      <c r="K22" s="300">
        <f>'Inc. Stmt.'!K5*2%</f>
        <v>42905.67930213856</v>
      </c>
      <c r="L22" s="300">
        <f>'Inc. Stmt.'!L5*2%</f>
        <v>46344.483586608862</v>
      </c>
      <c r="M22" s="300">
        <f>'Inc. Stmt.'!M5*2%</f>
        <v>49761.007082226577</v>
      </c>
      <c r="N22" s="300">
        <f>'Inc. Stmt.'!N5*2%</f>
        <v>52866.478678282037</v>
      </c>
      <c r="O22" s="300">
        <f>'Inc. Stmt.'!O5*2%</f>
        <v>56369.117347024345</v>
      </c>
      <c r="P22" s="160"/>
      <c r="X22" s="140"/>
      <c r="Y22" s="140"/>
      <c r="Z22" s="139"/>
    </row>
    <row r="23" spans="1:28" s="116" customFormat="1" ht="16.05" customHeight="1">
      <c r="A23" s="273" t="s">
        <v>41</v>
      </c>
      <c r="B23" s="289">
        <v>0</v>
      </c>
      <c r="C23" s="289">
        <v>0</v>
      </c>
      <c r="D23" s="289">
        <v>2125</v>
      </c>
      <c r="E23" s="289">
        <v>210</v>
      </c>
      <c r="F23" s="289">
        <v>14622</v>
      </c>
      <c r="G23" s="289">
        <v>12981</v>
      </c>
      <c r="H23" s="289">
        <v>14871</v>
      </c>
      <c r="I23" s="304">
        <f>H23+'Cash Flow Stmt.'!I33</f>
        <v>12421</v>
      </c>
      <c r="J23" s="300">
        <f>I23+'Cash Flow Stmt.'!J33</f>
        <v>12550</v>
      </c>
      <c r="K23" s="300">
        <f>J23+'Cash Flow Stmt.'!K33</f>
        <v>-2261</v>
      </c>
      <c r="L23" s="300">
        <f>K23+'Cash Flow Stmt.'!L33</f>
        <v>11739</v>
      </c>
      <c r="M23" s="300">
        <f>L23+'Cash Flow Stmt.'!M33</f>
        <v>11739</v>
      </c>
      <c r="N23" s="300">
        <f>M23+'Cash Flow Stmt.'!N33</f>
        <v>11739</v>
      </c>
      <c r="O23" s="300">
        <f>N23+'Cash Flow Stmt.'!O33</f>
        <v>11739</v>
      </c>
      <c r="P23" s="160"/>
      <c r="X23" s="140"/>
      <c r="Y23" s="140"/>
      <c r="Z23" s="139"/>
    </row>
    <row r="24" spans="1:28" s="131" customFormat="1" ht="16.05" customHeight="1">
      <c r="A24" s="276" t="s">
        <v>42</v>
      </c>
      <c r="B24" s="295">
        <f t="shared" ref="B24:H24" si="8">SUM(B18:B23)</f>
        <v>287656</v>
      </c>
      <c r="C24" s="295">
        <f t="shared" si="8"/>
        <v>246860</v>
      </c>
      <c r="D24" s="295">
        <f t="shared" si="8"/>
        <v>214471</v>
      </c>
      <c r="E24" s="295">
        <f t="shared" si="8"/>
        <v>177336</v>
      </c>
      <c r="F24" s="295">
        <f t="shared" si="8"/>
        <v>207796</v>
      </c>
      <c r="G24" s="295">
        <f t="shared" si="8"/>
        <v>212477</v>
      </c>
      <c r="H24" s="295">
        <f t="shared" si="8"/>
        <v>252741</v>
      </c>
      <c r="I24" s="305">
        <f t="shared" ref="I24:N24" si="9">SUM(I23,I18:I22)</f>
        <v>323464.490903422</v>
      </c>
      <c r="J24" s="301">
        <f t="shared" si="9"/>
        <v>293849.68896457041</v>
      </c>
      <c r="K24" s="301">
        <f t="shared" si="9"/>
        <v>282109.35798042285</v>
      </c>
      <c r="L24" s="301">
        <f t="shared" si="9"/>
        <v>315980.55802285665</v>
      </c>
      <c r="M24" s="301">
        <f t="shared" si="9"/>
        <v>335773.2832385386</v>
      </c>
      <c r="N24" s="301">
        <f t="shared" si="9"/>
        <v>355863.41021619935</v>
      </c>
      <c r="O24" s="301">
        <f t="shared" ref="O24" si="10">SUM(O23,O18:O22)</f>
        <v>378481.4471671654</v>
      </c>
      <c r="P24" s="161"/>
    </row>
    <row r="25" spans="1:28" s="116" customFormat="1" ht="16.05" customHeight="1">
      <c r="A25" s="273" t="s">
        <v>40</v>
      </c>
      <c r="B25" s="289">
        <v>0</v>
      </c>
      <c r="C25" s="289">
        <v>73406</v>
      </c>
      <c r="D25" s="289">
        <v>111056</v>
      </c>
      <c r="E25" s="289">
        <v>335446</v>
      </c>
      <c r="F25" s="289">
        <v>335825</v>
      </c>
      <c r="G25" s="289">
        <v>336207</v>
      </c>
      <c r="H25" s="289">
        <v>299090</v>
      </c>
      <c r="I25" s="304">
        <f>I50</f>
        <v>299243.09999999998</v>
      </c>
      <c r="J25" s="300">
        <f>J50</f>
        <v>236894.48</v>
      </c>
      <c r="K25" s="300">
        <f>K50</f>
        <v>199515.584</v>
      </c>
      <c r="L25" s="300">
        <f>L50</f>
        <v>99612.467199999999</v>
      </c>
      <c r="M25" s="300">
        <v>0</v>
      </c>
      <c r="N25" s="300">
        <v>0</v>
      </c>
      <c r="O25" s="300">
        <v>0</v>
      </c>
      <c r="P25" s="160"/>
      <c r="X25" s="140"/>
      <c r="Y25" s="140"/>
      <c r="Z25" s="139"/>
    </row>
    <row r="26" spans="1:28" s="116" customFormat="1" ht="16.05" customHeight="1">
      <c r="A26" s="273" t="s">
        <v>43</v>
      </c>
      <c r="B26" s="289">
        <v>2207</v>
      </c>
      <c r="C26" s="289">
        <v>5267</v>
      </c>
      <c r="D26" s="289">
        <v>368</v>
      </c>
      <c r="E26" s="289">
        <v>0</v>
      </c>
      <c r="F26" s="289">
        <v>0</v>
      </c>
      <c r="G26" s="289">
        <v>0</v>
      </c>
      <c r="H26" s="289">
        <v>0</v>
      </c>
      <c r="I26" s="304">
        <v>0</v>
      </c>
      <c r="J26" s="300">
        <v>0</v>
      </c>
      <c r="K26" s="300">
        <v>0</v>
      </c>
      <c r="L26" s="300">
        <v>0</v>
      </c>
      <c r="M26" s="300">
        <v>0</v>
      </c>
      <c r="N26" s="300">
        <v>0</v>
      </c>
      <c r="O26" s="300">
        <v>0</v>
      </c>
      <c r="P26" s="160"/>
      <c r="X26" s="140"/>
      <c r="Y26" s="140"/>
      <c r="Z26" s="139"/>
      <c r="AB26" s="138"/>
    </row>
    <row r="27" spans="1:28" s="131" customFormat="1" ht="16.05" customHeight="1" thickBot="1">
      <c r="A27" s="298" t="s">
        <v>44</v>
      </c>
      <c r="B27" s="299">
        <v>289863</v>
      </c>
      <c r="C27" s="299">
        <v>325533</v>
      </c>
      <c r="D27" s="299">
        <v>325895</v>
      </c>
      <c r="E27" s="299">
        <v>511306</v>
      </c>
      <c r="F27" s="299">
        <v>543621</v>
      </c>
      <c r="G27" s="299">
        <v>548684</v>
      </c>
      <c r="H27" s="299">
        <v>551831</v>
      </c>
      <c r="I27" s="306">
        <f>SUM(I24:I26)</f>
        <v>622707.59090342198</v>
      </c>
      <c r="J27" s="302">
        <f>SUM(J24,I25)</f>
        <v>593092.78896457038</v>
      </c>
      <c r="K27" s="302">
        <f>SUM(K24,J25)</f>
        <v>519003.83798042289</v>
      </c>
      <c r="L27" s="302">
        <f>SUM(L24,K25)</f>
        <v>515496.14202285663</v>
      </c>
      <c r="M27" s="302">
        <f>SUM(M24,L25)</f>
        <v>435385.75043853861</v>
      </c>
      <c r="N27" s="302">
        <f>SUM(N24,N25)</f>
        <v>355863.41021619935</v>
      </c>
      <c r="O27" s="302">
        <f>SUM(O24,O25)</f>
        <v>378481.4471671654</v>
      </c>
      <c r="P27" s="161"/>
    </row>
    <row r="28" spans="1:28" s="139" customFormat="1" ht="16.05" customHeight="1" thickTop="1">
      <c r="A28" s="273" t="s">
        <v>45</v>
      </c>
      <c r="B28" s="289">
        <v>8531</v>
      </c>
      <c r="C28" s="289">
        <v>13611</v>
      </c>
      <c r="D28" s="289">
        <v>13543</v>
      </c>
      <c r="E28" s="289">
        <v>21867</v>
      </c>
      <c r="F28" s="289">
        <v>29239</v>
      </c>
      <c r="G28" s="289">
        <v>36135</v>
      </c>
      <c r="H28" s="289">
        <v>44709</v>
      </c>
      <c r="I28" s="304">
        <f>H28+'Inc. Stmt.'!H18+'Cash Flow Stmt.'!H41+'Cash Flow Stmt.'!H42</f>
        <v>63496</v>
      </c>
      <c r="J28" s="300">
        <f>I28+'Inc. Stmt.'!I18+'Cash Flow Stmt.'!I41+'Cash Flow Stmt.'!I42</f>
        <v>67246.835399799544</v>
      </c>
      <c r="K28" s="300">
        <f>J28+'Inc. Stmt.'!J18+'Cash Flow Stmt.'!J41+'Cash Flow Stmt.'!J42</f>
        <v>81930.32907467206</v>
      </c>
      <c r="L28" s="300">
        <f>K28+'Inc. Stmt.'!K18+'Cash Flow Stmt.'!K41+'Cash Flow Stmt.'!K42</f>
        <v>96886.067803237296</v>
      </c>
      <c r="M28" s="300">
        <f>L28+'Inc. Stmt.'!L18+'Cash Flow Stmt.'!L41+'Cash Flow Stmt.'!L42</f>
        <v>113040.47904447955</v>
      </c>
      <c r="N28" s="300">
        <f>M28+'Inc. Stmt.'!M18+'Cash Flow Stmt.'!M41+'Cash Flow Stmt.'!M42</f>
        <v>130385.79632873407</v>
      </c>
      <c r="O28" s="300">
        <f>N28+'Inc. Stmt.'!N18+'Cash Flow Stmt.'!N41+'Cash Flow Stmt.'!N42</f>
        <v>148813.59552622266</v>
      </c>
      <c r="P28" s="177"/>
      <c r="X28" s="143"/>
    </row>
    <row r="29" spans="1:28" s="136" customFormat="1" ht="16.05" customHeight="1">
      <c r="A29" s="293" t="s">
        <v>46</v>
      </c>
      <c r="B29" s="294"/>
      <c r="C29" s="294"/>
      <c r="D29" s="294"/>
      <c r="E29" s="294"/>
      <c r="F29" s="294"/>
      <c r="G29" s="294"/>
      <c r="H29" s="294"/>
      <c r="I29" s="303"/>
      <c r="J29" s="294"/>
      <c r="K29" s="294"/>
      <c r="L29" s="294"/>
      <c r="M29" s="294"/>
      <c r="N29" s="294"/>
      <c r="O29" s="294"/>
      <c r="P29" s="176"/>
      <c r="X29" s="137"/>
      <c r="AB29" s="137"/>
    </row>
    <row r="30" spans="1:28" s="117" customFormat="1" ht="16.05" customHeight="1">
      <c r="A30" s="273" t="s">
        <v>55</v>
      </c>
      <c r="B30" s="289">
        <v>0</v>
      </c>
      <c r="C30" s="289">
        <v>0</v>
      </c>
      <c r="D30" s="289">
        <v>0</v>
      </c>
      <c r="E30" s="289">
        <v>47696</v>
      </c>
      <c r="F30" s="289">
        <v>47696</v>
      </c>
      <c r="G30" s="289">
        <v>47603</v>
      </c>
      <c r="H30" s="289">
        <v>47603</v>
      </c>
      <c r="I30" s="304">
        <v>47603</v>
      </c>
      <c r="J30" s="300">
        <v>47603</v>
      </c>
      <c r="K30" s="300">
        <v>47603</v>
      </c>
      <c r="L30" s="300">
        <v>47603</v>
      </c>
      <c r="M30" s="300">
        <v>47603</v>
      </c>
      <c r="N30" s="300">
        <v>47603</v>
      </c>
      <c r="O30" s="300">
        <v>47603</v>
      </c>
      <c r="P30" s="178"/>
      <c r="X30" s="150"/>
      <c r="AB30" s="150"/>
    </row>
    <row r="31" spans="1:28" s="116" customFormat="1" ht="16.05" customHeight="1">
      <c r="A31" s="273" t="s">
        <v>47</v>
      </c>
      <c r="B31" s="289">
        <v>507</v>
      </c>
      <c r="C31" s="289">
        <v>509</v>
      </c>
      <c r="D31" s="289">
        <v>511</v>
      </c>
      <c r="E31" s="289">
        <v>512</v>
      </c>
      <c r="F31" s="289">
        <v>460</v>
      </c>
      <c r="G31" s="289">
        <v>450</v>
      </c>
      <c r="H31" s="289">
        <v>444</v>
      </c>
      <c r="I31" s="304">
        <v>444</v>
      </c>
      <c r="J31" s="300">
        <v>444</v>
      </c>
      <c r="K31" s="300">
        <v>443</v>
      </c>
      <c r="L31" s="300">
        <v>443</v>
      </c>
      <c r="M31" s="300">
        <v>442</v>
      </c>
      <c r="N31" s="300">
        <v>442</v>
      </c>
      <c r="O31" s="300">
        <v>441</v>
      </c>
      <c r="P31" s="160"/>
    </row>
    <row r="32" spans="1:28" s="116" customFormat="1" ht="16.05" customHeight="1">
      <c r="A32" s="273" t="s">
        <v>48</v>
      </c>
      <c r="B32" s="289">
        <v>-981</v>
      </c>
      <c r="C32" s="289">
        <v>-3167</v>
      </c>
      <c r="D32" s="289">
        <v>3167</v>
      </c>
      <c r="E32" s="289">
        <v>3167</v>
      </c>
      <c r="F32" s="289">
        <v>0</v>
      </c>
      <c r="G32" s="289">
        <v>0</v>
      </c>
      <c r="H32" s="289">
        <v>0</v>
      </c>
      <c r="I32" s="304">
        <v>0</v>
      </c>
      <c r="J32" s="300">
        <v>0</v>
      </c>
      <c r="K32" s="300">
        <v>0</v>
      </c>
      <c r="L32" s="300">
        <v>0</v>
      </c>
      <c r="M32" s="300">
        <v>0</v>
      </c>
      <c r="N32" s="300">
        <v>0</v>
      </c>
      <c r="O32" s="300">
        <v>0</v>
      </c>
      <c r="P32" s="160"/>
    </row>
    <row r="33" spans="1:28" s="116" customFormat="1" ht="16.05" customHeight="1">
      <c r="A33" s="273" t="s">
        <v>49</v>
      </c>
      <c r="B33" s="289">
        <v>291299</v>
      </c>
      <c r="C33" s="289">
        <v>290799</v>
      </c>
      <c r="D33" s="289">
        <v>293242</v>
      </c>
      <c r="E33" s="289">
        <v>289641</v>
      </c>
      <c r="F33" s="289">
        <v>259410</v>
      </c>
      <c r="G33" s="289">
        <v>255614</v>
      </c>
      <c r="H33" s="289">
        <v>244653</v>
      </c>
      <c r="I33" s="304">
        <f>'Q Bal. Sheet'!Q34</f>
        <v>248486.10150000002</v>
      </c>
      <c r="J33" s="300">
        <f>I33</f>
        <v>248486.10150000002</v>
      </c>
      <c r="K33" s="300">
        <f>J33+2</f>
        <v>248488.10150000002</v>
      </c>
      <c r="L33" s="300">
        <f>K33-1</f>
        <v>248487.10150000002</v>
      </c>
      <c r="M33" s="300">
        <f>L33+1</f>
        <v>248488.10150000002</v>
      </c>
      <c r="N33" s="300">
        <f>M33</f>
        <v>248488.10150000002</v>
      </c>
      <c r="O33" s="300">
        <f>N33+1</f>
        <v>248489.10150000002</v>
      </c>
      <c r="P33" s="160"/>
      <c r="X33" s="138"/>
      <c r="AB33" s="138"/>
    </row>
    <row r="34" spans="1:28" s="116" customFormat="1" ht="16.05" customHeight="1">
      <c r="A34" s="273" t="s">
        <v>50</v>
      </c>
      <c r="B34" s="289">
        <v>177526</v>
      </c>
      <c r="C34" s="289">
        <v>235027</v>
      </c>
      <c r="D34" s="289">
        <v>349656</v>
      </c>
      <c r="E34" s="289">
        <v>539866</v>
      </c>
      <c r="F34" s="289">
        <v>754341</v>
      </c>
      <c r="G34" s="289">
        <v>997037</v>
      </c>
      <c r="H34" s="289">
        <v>1332714</v>
      </c>
      <c r="I34" s="304">
        <f>H34+'Inc. Stmt.'!I17+'Cash Flow Stmt.'!I39+'Cash Flow Stmt.'!I38</f>
        <v>1490608.5380372084</v>
      </c>
      <c r="J34" s="300">
        <f>I34+'Inc. Stmt.'!J17+'Cash Flow Stmt.'!J39+'Cash Flow Stmt.'!J38</f>
        <v>1659169.9378171547</v>
      </c>
      <c r="K34" s="300">
        <f>J34+'Inc. Stmt.'!K17+'Cash Flow Stmt.'!K39+'Cash Flow Stmt.'!K38</f>
        <v>1825089.4217298599</v>
      </c>
      <c r="L34" s="300">
        <f>K34+'Inc. Stmt.'!L17+'Cash Flow Stmt.'!L39+'Cash Flow Stmt.'!L38</f>
        <v>1998250.444723652</v>
      </c>
      <c r="M34" s="300">
        <f>L34+'Inc. Stmt.'!M17+'Cash Flow Stmt.'!M39+'Cash Flow Stmt.'!M38</f>
        <v>2179339.523760953</v>
      </c>
      <c r="N34" s="300">
        <f>M34+'Inc. Stmt.'!N17+'Cash Flow Stmt.'!N39+'Cash Flow Stmt.'!N38</f>
        <v>2371909.3837479004</v>
      </c>
      <c r="O34" s="300">
        <f>N34+'Inc. Stmt.'!O17+'Cash Flow Stmt.'!O39+'Cash Flow Stmt.'!O38</f>
        <v>2577428.3324828078</v>
      </c>
      <c r="P34" s="160"/>
    </row>
    <row r="35" spans="1:28" s="131" customFormat="1" ht="16.05" customHeight="1">
      <c r="A35" s="276" t="s">
        <v>51</v>
      </c>
      <c r="B35" s="295">
        <v>468351</v>
      </c>
      <c r="C35" s="295">
        <v>523168</v>
      </c>
      <c r="D35" s="295">
        <v>640242</v>
      </c>
      <c r="E35" s="295">
        <v>874548</v>
      </c>
      <c r="F35" s="295">
        <v>1061907</v>
      </c>
      <c r="G35" s="295">
        <v>1300704</v>
      </c>
      <c r="H35" s="295">
        <v>1625415</v>
      </c>
      <c r="I35" s="305">
        <f>'Q Bal. Sheet'!Q36</f>
        <v>1824909.8630000001</v>
      </c>
      <c r="J35" s="301">
        <f>SUM(J30:J34)</f>
        <v>1955703.0393171548</v>
      </c>
      <c r="K35" s="301">
        <f>SUM(K30:K34)</f>
        <v>2121623.5232298598</v>
      </c>
      <c r="L35" s="301">
        <f>SUM(L30:L34)</f>
        <v>2294783.5462236521</v>
      </c>
      <c r="M35" s="301">
        <f>SUM(M30:M34)</f>
        <v>2475872.6252609529</v>
      </c>
      <c r="N35" s="301">
        <f>SUM(N30:N34)</f>
        <v>2668442.4852479002</v>
      </c>
      <c r="O35" s="301">
        <f t="shared" ref="O35" si="11">SUM(O30:O34)</f>
        <v>2873961.4339828077</v>
      </c>
      <c r="P35" s="161"/>
      <c r="X35" s="144"/>
      <c r="AB35" s="144"/>
    </row>
    <row r="36" spans="1:28" s="116" customFormat="1" ht="16.05" customHeight="1">
      <c r="A36" s="273" t="s">
        <v>52</v>
      </c>
      <c r="B36" s="289">
        <v>17281</v>
      </c>
      <c r="C36" s="289">
        <v>13227</v>
      </c>
      <c r="D36" s="289">
        <v>9167</v>
      </c>
      <c r="E36" s="289">
        <v>14146</v>
      </c>
      <c r="F36" s="289">
        <v>20908</v>
      </c>
      <c r="G36" s="289">
        <v>17309</v>
      </c>
      <c r="H36" s="289">
        <v>28039</v>
      </c>
      <c r="I36" s="304">
        <f>'Q Bal. Sheet'!Q37</f>
        <v>27787.928000000004</v>
      </c>
      <c r="J36" s="300">
        <f>'Bal. Sheet'!J19*0.25</f>
        <v>24714.486447904506</v>
      </c>
      <c r="K36" s="300">
        <f>'Bal. Sheet'!K19*0.25</f>
        <v>24333.624542374393</v>
      </c>
      <c r="L36" s="300">
        <f>'Bal. Sheet'!L19*0.25</f>
        <v>25377.573900335559</v>
      </c>
      <c r="M36" s="300">
        <f>'Bal. Sheet'!M19*0.25</f>
        <v>26442.673116640872</v>
      </c>
      <c r="N36" s="300">
        <f>'Bal. Sheet'!N19*0.25</f>
        <v>28092.900374940033</v>
      </c>
      <c r="O36" s="300">
        <f>'Bal. Sheet'!O19*0.25</f>
        <v>29954.179613324668</v>
      </c>
      <c r="P36" s="160"/>
    </row>
    <row r="37" spans="1:28" s="131" customFormat="1" ht="16.05" customHeight="1">
      <c r="A37" s="276" t="s">
        <v>53</v>
      </c>
      <c r="B37" s="295">
        <v>485632</v>
      </c>
      <c r="C37" s="295">
        <v>536395</v>
      </c>
      <c r="D37" s="295">
        <v>649409</v>
      </c>
      <c r="E37" s="295">
        <v>888694</v>
      </c>
      <c r="F37" s="295">
        <v>1082815</v>
      </c>
      <c r="G37" s="295">
        <v>1318013</v>
      </c>
      <c r="H37" s="295">
        <v>1653454</v>
      </c>
      <c r="I37" s="305">
        <f>'Q Bal. Sheet'!Q38</f>
        <v>1852697.7910000002</v>
      </c>
      <c r="J37" s="301">
        <f>SUM(J35:J36)</f>
        <v>1980417.5257650593</v>
      </c>
      <c r="K37" s="301">
        <f>SUM(K35:K36)</f>
        <v>2145957.1477722339</v>
      </c>
      <c r="L37" s="301">
        <f>SUM(L35:L36)</f>
        <v>2320161.1201239876</v>
      </c>
      <c r="M37" s="301">
        <f>SUM(M35:M36)</f>
        <v>2502315.2983775935</v>
      </c>
      <c r="N37" s="301">
        <f>SUM(N35:N36)</f>
        <v>2696535.3856228404</v>
      </c>
      <c r="O37" s="301">
        <f t="shared" ref="O37" si="12">SUM(O35:O36)</f>
        <v>2903915.6135961325</v>
      </c>
      <c r="P37" s="161"/>
      <c r="X37" s="144"/>
      <c r="AB37" s="144"/>
    </row>
    <row r="38" spans="1:28" s="131" customFormat="1" ht="16.05" customHeight="1" thickBot="1">
      <c r="A38" s="298" t="s">
        <v>54</v>
      </c>
      <c r="B38" s="299">
        <v>784026</v>
      </c>
      <c r="C38" s="299">
        <v>875539</v>
      </c>
      <c r="D38" s="299">
        <v>988847</v>
      </c>
      <c r="E38" s="299">
        <v>1421867</v>
      </c>
      <c r="F38" s="299">
        <v>1655675</v>
      </c>
      <c r="G38" s="299">
        <v>1902832</v>
      </c>
      <c r="H38" s="299">
        <v>2249994</v>
      </c>
      <c r="I38" s="306">
        <f>'Q Bal. Sheet'!Q39</f>
        <v>2509910.8125</v>
      </c>
      <c r="J38" s="302">
        <f>SUM(J37,J27)</f>
        <v>2573510.3147296296</v>
      </c>
      <c r="K38" s="302">
        <f>SUM(K37,K27)</f>
        <v>2664960.9857526571</v>
      </c>
      <c r="L38" s="302">
        <f>SUM(L37,L27)</f>
        <v>2835657.2621468441</v>
      </c>
      <c r="M38" s="302">
        <f>SUM(M37,M27)</f>
        <v>2937701.0488161324</v>
      </c>
      <c r="N38" s="302">
        <f>SUM(N37,N27)</f>
        <v>3052398.7958390396</v>
      </c>
      <c r="O38" s="302">
        <f t="shared" ref="O38" si="13">SUM(O37,O27)</f>
        <v>3282397.0607632981</v>
      </c>
      <c r="P38" s="161"/>
    </row>
    <row r="39" spans="1:28" s="36" customFormat="1" ht="16.05" customHeight="1" thickTop="1">
      <c r="A39" s="256"/>
      <c r="B39" s="195"/>
      <c r="C39" s="195"/>
      <c r="D39" s="195"/>
      <c r="E39" s="195"/>
      <c r="F39" s="195"/>
      <c r="G39" s="195"/>
      <c r="H39" s="195"/>
      <c r="I39" s="195"/>
      <c r="J39" s="195"/>
      <c r="K39" s="195"/>
      <c r="L39" s="195"/>
      <c r="M39" s="195"/>
      <c r="N39" s="195"/>
      <c r="O39" s="316"/>
    </row>
    <row r="40" spans="1:28" s="36" customFormat="1" ht="16.05" customHeight="1">
      <c r="A40" s="256"/>
      <c r="B40" s="195"/>
      <c r="C40" s="195"/>
      <c r="D40" s="195"/>
      <c r="E40" s="195"/>
      <c r="F40" s="195"/>
      <c r="G40" s="195"/>
      <c r="H40" s="195"/>
      <c r="I40" s="195"/>
      <c r="J40" s="195"/>
      <c r="K40" s="195"/>
      <c r="L40" s="195"/>
      <c r="M40" s="195"/>
      <c r="N40" s="195"/>
    </row>
    <row r="41" spans="1:28" s="36" customFormat="1" ht="16.05" customHeight="1">
      <c r="A41" s="256"/>
      <c r="B41" s="195"/>
      <c r="C41" s="195"/>
      <c r="D41" s="195"/>
      <c r="E41" s="195"/>
      <c r="F41" s="195"/>
      <c r="G41" s="195"/>
      <c r="H41" s="195"/>
      <c r="I41" s="195"/>
      <c r="J41" s="195"/>
      <c r="K41" s="195"/>
      <c r="L41" s="195"/>
      <c r="M41" s="195"/>
      <c r="N41" s="195"/>
      <c r="O41" s="195"/>
    </row>
    <row r="42" spans="1:28" s="36" customFormat="1" ht="16.05" customHeight="1">
      <c r="A42" s="256"/>
      <c r="B42" s="195"/>
      <c r="C42" s="195"/>
      <c r="D42" s="195"/>
      <c r="E42" s="195"/>
      <c r="F42" s="195"/>
      <c r="G42" s="195"/>
      <c r="H42" s="195"/>
      <c r="I42" s="195"/>
      <c r="J42" s="195"/>
      <c r="K42" s="195"/>
      <c r="L42" s="195"/>
      <c r="M42" s="195"/>
      <c r="N42" s="195"/>
      <c r="O42" s="195"/>
    </row>
    <row r="43" spans="1:28" s="36" customFormat="1" ht="16.05" customHeight="1">
      <c r="A43" s="290" t="s">
        <v>394</v>
      </c>
      <c r="B43" s="200">
        <v>2018</v>
      </c>
      <c r="C43" s="200">
        <v>2019</v>
      </c>
      <c r="D43" s="200">
        <v>2020</v>
      </c>
      <c r="E43" s="200">
        <v>2021</v>
      </c>
      <c r="F43" s="200">
        <v>2022</v>
      </c>
      <c r="G43" s="200">
        <v>2023</v>
      </c>
      <c r="H43" s="200">
        <v>2024</v>
      </c>
      <c r="I43" s="317" t="s">
        <v>59</v>
      </c>
      <c r="J43" s="200" t="s">
        <v>60</v>
      </c>
      <c r="K43" s="200" t="s">
        <v>61</v>
      </c>
      <c r="L43" s="200" t="s">
        <v>62</v>
      </c>
      <c r="M43"/>
      <c r="N43"/>
      <c r="O43"/>
    </row>
    <row r="44" spans="1:28" s="36" customFormat="1" ht="16.05" customHeight="1">
      <c r="A44" s="256" t="s">
        <v>77</v>
      </c>
      <c r="B44" s="289"/>
      <c r="C44" s="289"/>
      <c r="D44" s="289"/>
      <c r="E44" s="289"/>
      <c r="F44" s="289"/>
      <c r="G44" s="289"/>
      <c r="H44" s="289">
        <v>62500</v>
      </c>
      <c r="I44" s="304">
        <v>62500</v>
      </c>
      <c r="J44" s="300">
        <v>0</v>
      </c>
      <c r="K44" s="300">
        <v>0</v>
      </c>
      <c r="L44" s="300">
        <v>0</v>
      </c>
      <c r="M44"/>
      <c r="N44"/>
      <c r="O44"/>
    </row>
    <row r="45" spans="1:28" s="36" customFormat="1" ht="16.05" customHeight="1">
      <c r="A45" s="256" t="s">
        <v>78</v>
      </c>
      <c r="B45" s="289"/>
      <c r="C45" s="289"/>
      <c r="D45" s="289"/>
      <c r="E45" s="289"/>
      <c r="F45" s="289"/>
      <c r="G45" s="289"/>
      <c r="H45" s="289">
        <v>37500</v>
      </c>
      <c r="I45" s="304">
        <v>37500</v>
      </c>
      <c r="J45" s="300">
        <v>37500</v>
      </c>
      <c r="K45" s="300">
        <v>0</v>
      </c>
      <c r="L45" s="300">
        <v>0</v>
      </c>
      <c r="M45"/>
      <c r="N45"/>
      <c r="O45"/>
    </row>
    <row r="46" spans="1:28" s="36" customFormat="1" ht="16.05" customHeight="1">
      <c r="A46" s="256" t="s">
        <v>79</v>
      </c>
      <c r="B46" s="289"/>
      <c r="C46" s="289"/>
      <c r="D46" s="289"/>
      <c r="E46" s="289"/>
      <c r="F46" s="289"/>
      <c r="G46" s="289"/>
      <c r="H46" s="289">
        <v>100000</v>
      </c>
      <c r="I46" s="304">
        <v>100000</v>
      </c>
      <c r="J46" s="300">
        <v>100000</v>
      </c>
      <c r="K46" s="300">
        <v>100000</v>
      </c>
      <c r="L46" s="300">
        <v>0</v>
      </c>
      <c r="M46"/>
      <c r="N46"/>
      <c r="O46"/>
    </row>
    <row r="47" spans="1:28" s="36" customFormat="1" ht="16.05" customHeight="1">
      <c r="A47" s="256" t="s">
        <v>80</v>
      </c>
      <c r="B47" s="289"/>
      <c r="C47" s="289"/>
      <c r="D47" s="289"/>
      <c r="E47" s="289"/>
      <c r="F47" s="289"/>
      <c r="G47" s="289"/>
      <c r="H47" s="289">
        <v>100000</v>
      </c>
      <c r="I47" s="304">
        <v>100000</v>
      </c>
      <c r="J47" s="300">
        <v>100000</v>
      </c>
      <c r="K47" s="300">
        <v>100000</v>
      </c>
      <c r="L47" s="300">
        <v>100000</v>
      </c>
      <c r="M47"/>
      <c r="N47"/>
      <c r="O47"/>
    </row>
    <row r="48" spans="1:28" s="36" customFormat="1" ht="16.05" customHeight="1">
      <c r="A48" s="276" t="s">
        <v>81</v>
      </c>
      <c r="B48" s="295"/>
      <c r="C48" s="295"/>
      <c r="D48" s="295"/>
      <c r="E48" s="295"/>
      <c r="F48" s="295"/>
      <c r="G48" s="295"/>
      <c r="H48" s="295">
        <f>SUM(H44:H47)</f>
        <v>300000</v>
      </c>
      <c r="I48" s="305">
        <f>SUM(I44:I47)</f>
        <v>300000</v>
      </c>
      <c r="J48" s="301">
        <f>SUM(J44:J47)</f>
        <v>237500</v>
      </c>
      <c r="K48" s="301">
        <f>SUM(K44:K47)</f>
        <v>200000</v>
      </c>
      <c r="L48" s="301">
        <f>SUM(L44:L47)</f>
        <v>100000</v>
      </c>
      <c r="M48"/>
      <c r="N48"/>
      <c r="O48"/>
    </row>
    <row r="49" spans="1:15" s="36" customFormat="1" ht="16.05" customHeight="1">
      <c r="A49" s="256" t="s">
        <v>82</v>
      </c>
      <c r="B49" s="289"/>
      <c r="C49" s="289"/>
      <c r="D49" s="289"/>
      <c r="E49" s="289"/>
      <c r="F49" s="289"/>
      <c r="G49" s="289"/>
      <c r="H49" s="289">
        <v>-910</v>
      </c>
      <c r="I49" s="304">
        <f>'Cash Flow Stmt.'!I32</f>
        <v>-756.9</v>
      </c>
      <c r="J49" s="300">
        <f>'Cash Flow Stmt.'!J32</f>
        <v>-605.52</v>
      </c>
      <c r="K49" s="300">
        <f>'Cash Flow Stmt.'!K32</f>
        <v>-484.416</v>
      </c>
      <c r="L49" s="300">
        <f>'Cash Flow Stmt.'!L32</f>
        <v>-387.53280000000001</v>
      </c>
      <c r="M49"/>
      <c r="N49"/>
      <c r="O49"/>
    </row>
    <row r="50" spans="1:15" s="36" customFormat="1" ht="16.05" customHeight="1" thickBot="1">
      <c r="A50" s="298" t="s">
        <v>83</v>
      </c>
      <c r="B50" s="299"/>
      <c r="C50" s="299"/>
      <c r="D50" s="299"/>
      <c r="E50" s="299"/>
      <c r="F50" s="299"/>
      <c r="G50" s="299"/>
      <c r="H50" s="299">
        <f>H48+H49</f>
        <v>299090</v>
      </c>
      <c r="I50" s="306">
        <f>I48+I49</f>
        <v>299243.09999999998</v>
      </c>
      <c r="J50" s="302">
        <f>J48+J49</f>
        <v>236894.48</v>
      </c>
      <c r="K50" s="302">
        <f>K48+K49</f>
        <v>199515.584</v>
      </c>
      <c r="L50" s="302">
        <f>L48+L49</f>
        <v>99612.467199999999</v>
      </c>
      <c r="M50"/>
      <c r="N50"/>
      <c r="O50"/>
    </row>
    <row r="51" spans="1:15" s="36" customFormat="1" ht="16.05" customHeight="1" thickTop="1">
      <c r="A51"/>
      <c r="B51"/>
      <c r="C51"/>
      <c r="D51"/>
      <c r="E51"/>
      <c r="F51"/>
      <c r="G51"/>
      <c r="H51"/>
      <c r="I51"/>
      <c r="J51"/>
      <c r="K51"/>
      <c r="L51"/>
      <c r="M51"/>
      <c r="N51"/>
      <c r="O51"/>
    </row>
    <row r="52" spans="1:15" s="36" customFormat="1" ht="16.05" customHeight="1"/>
    <row r="53" spans="1:15" s="36" customFormat="1" ht="16.05" customHeight="1"/>
    <row r="54" spans="1:15" s="36" customFormat="1" ht="16.05" customHeight="1">
      <c r="C54" s="135"/>
    </row>
    <row r="55" spans="1:15" s="36" customFormat="1" ht="16.05" customHeight="1"/>
  </sheetData>
  <printOptions horizontalCentered="1"/>
  <pageMargins left="0.25" right="0.25" top="0.75" bottom="0.75" header="0.3" footer="0.3"/>
  <pageSetup scale="5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CC5BD-E8FC-4F9D-B650-72A462829154}">
  <sheetPr>
    <tabColor rgb="FFDAF2D0"/>
  </sheetPr>
  <dimension ref="A1:AB45"/>
  <sheetViews>
    <sheetView showGridLines="0" topLeftCell="E1" workbookViewId="0">
      <selection activeCell="A2" sqref="A2:XFD2"/>
    </sheetView>
  </sheetViews>
  <sheetFormatPr defaultColWidth="16.77734375" defaultRowHeight="16.05" customHeight="1"/>
  <cols>
    <col min="1" max="1" width="66.77734375" customWidth="1"/>
  </cols>
  <sheetData>
    <row r="1" spans="1:28" ht="30" customHeight="1">
      <c r="A1" s="368" t="s">
        <v>400</v>
      </c>
      <c r="B1" s="368"/>
      <c r="C1" s="368"/>
      <c r="D1" s="368"/>
      <c r="E1" s="368"/>
      <c r="F1" s="368"/>
      <c r="G1" s="368"/>
      <c r="H1" s="368"/>
      <c r="I1" s="368"/>
      <c r="J1" s="368"/>
    </row>
    <row r="2" spans="1:28" ht="16.05" customHeight="1">
      <c r="A2" s="380" t="s">
        <v>18</v>
      </c>
      <c r="B2" s="381" t="s">
        <v>391</v>
      </c>
      <c r="C2" s="382">
        <v>2018</v>
      </c>
      <c r="D2" s="382">
        <v>2019</v>
      </c>
      <c r="E2" s="382">
        <v>2020</v>
      </c>
      <c r="F2" s="382">
        <v>2021</v>
      </c>
      <c r="G2" s="382">
        <v>2022</v>
      </c>
      <c r="H2" s="382">
        <v>2023</v>
      </c>
      <c r="I2" s="381">
        <v>2024</v>
      </c>
      <c r="J2" s="382" t="s">
        <v>59</v>
      </c>
    </row>
    <row r="3" spans="1:28" ht="16.05" customHeight="1">
      <c r="A3" s="369" t="s">
        <v>19</v>
      </c>
      <c r="B3" s="373"/>
      <c r="C3" s="370"/>
      <c r="D3" s="370"/>
      <c r="E3" s="370"/>
      <c r="F3" s="370"/>
      <c r="G3" s="370"/>
      <c r="H3" s="370"/>
      <c r="I3" s="373"/>
      <c r="J3" s="370"/>
    </row>
    <row r="4" spans="1:28" ht="16.05" customHeight="1">
      <c r="A4" s="365" t="s">
        <v>20</v>
      </c>
      <c r="B4" s="374">
        <f>AVERAGE(C4:I4)</f>
        <v>6.5292702258790761E-2</v>
      </c>
      <c r="C4" s="366">
        <f>'Bal. Sheet'!B4/'Inc. Stmt.'!$B$5</f>
        <v>6.6952939723914334E-2</v>
      </c>
      <c r="D4" s="366">
        <f>'Bal. Sheet'!C4/'Inc. Stmt.'!$C$5</f>
        <v>4.7602506126367378E-2</v>
      </c>
      <c r="E4" s="366">
        <f>'Bal. Sheet'!D4/'Inc. Stmt.'!$D$5</f>
        <v>3.4461348679997665E-2</v>
      </c>
      <c r="F4" s="366">
        <f>'Bal. Sheet'!E4/'Inc. Stmt.'!$E$5</f>
        <v>6.6687290965131624E-2</v>
      </c>
      <c r="G4" s="366">
        <f>'Bal. Sheet'!F4/'Inc. Stmt.'!$F$5</f>
        <v>5.3060855288421332E-2</v>
      </c>
      <c r="H4" s="366">
        <f>'Bal. Sheet'!G4/'Inc. Stmt.'!$G$5</f>
        <v>0.11219996512367034</v>
      </c>
      <c r="I4" s="374">
        <f>'Bal. Sheet'!H4/'Inc. Stmt.'!$H$5</f>
        <v>7.6084009904032648E-2</v>
      </c>
      <c r="J4" s="367">
        <f>'Bal. Sheet'!I4/'Inc. Stmt.'!$I$5</f>
        <v>0.11579447586958952</v>
      </c>
    </row>
    <row r="5" spans="1:28" ht="16.05" customHeight="1">
      <c r="A5" s="365" t="s">
        <v>22</v>
      </c>
      <c r="B5" s="374">
        <f t="shared" ref="B5:B16" si="0">AVERAGE(C5:I5)</f>
        <v>5.6525313090048865E-3</v>
      </c>
      <c r="C5" s="366">
        <f>'Bal. Sheet'!B5/'Inc. Stmt.'!$B$5</f>
        <v>7.764007523486844E-3</v>
      </c>
      <c r="D5" s="366">
        <f>'Bal. Sheet'!C5/'Inc. Stmt.'!$C$5</f>
        <v>5.962155470782912E-3</v>
      </c>
      <c r="E5" s="366">
        <f>'Bal. Sheet'!D5/'Inc. Stmt.'!$D$5</f>
        <v>5.3523438532572555E-3</v>
      </c>
      <c r="F5" s="366">
        <f>'Bal. Sheet'!E5/'Inc. Stmt.'!$E$5</f>
        <v>4.8977956711783507E-3</v>
      </c>
      <c r="G5" s="366">
        <f>'Bal. Sheet'!F5/'Inc. Stmt.'!$F$5</f>
        <v>3.008317816716758E-3</v>
      </c>
      <c r="H5" s="366">
        <f>'Bal. Sheet'!G5/'Inc. Stmt.'!$G$5</f>
        <v>5.9807280152555818E-3</v>
      </c>
      <c r="I5" s="374">
        <f>'Bal. Sheet'!H5/'Inc. Stmt.'!$H$5</f>
        <v>6.6023708123565047E-3</v>
      </c>
      <c r="J5" s="367">
        <f>'Bal. Sheet'!I5/'Inc. Stmt.'!$I$5</f>
        <v>5.6525313090048865E-3</v>
      </c>
    </row>
    <row r="6" spans="1:28" ht="16.05" customHeight="1">
      <c r="A6" s="365" t="s">
        <v>23</v>
      </c>
      <c r="B6" s="374">
        <f t="shared" si="0"/>
        <v>0.9061432127563932</v>
      </c>
      <c r="C6" s="366">
        <f>'Bal. Sheet'!B6/'Inc. Stmt.'!$B$5</f>
        <v>1.0726596937049324</v>
      </c>
      <c r="D6" s="366">
        <f>'Bal. Sheet'!C6/'Inc. Stmt.'!$C$5</f>
        <v>0.95188212111259884</v>
      </c>
      <c r="E6" s="366">
        <f>'Bal. Sheet'!D6/'Inc. Stmt.'!$D$5</f>
        <v>0.86538609312709458</v>
      </c>
      <c r="F6" s="366">
        <f>'Bal. Sheet'!E6/'Inc. Stmt.'!$E$5</f>
        <v>0.858053741029143</v>
      </c>
      <c r="G6" s="366">
        <f>'Bal. Sheet'!F6/'Inc. Stmt.'!$F$5</f>
        <v>0.80935582289837316</v>
      </c>
      <c r="H6" s="366">
        <f>'Bal. Sheet'!G6/'Inc. Stmt.'!$G$5</f>
        <v>0.86247081919998203</v>
      </c>
      <c r="I6" s="374">
        <f>'Bal. Sheet'!H6/'Inc. Stmt.'!$H$5</f>
        <v>0.92319419822262916</v>
      </c>
      <c r="J6" s="367">
        <f>'Bal. Sheet'!I6/'Inc. Stmt.'!$I$5</f>
        <v>1.0147726601491345</v>
      </c>
    </row>
    <row r="7" spans="1:28" ht="16.05" customHeight="1">
      <c r="A7" s="365" t="s">
        <v>24</v>
      </c>
      <c r="B7" s="374">
        <f t="shared" si="0"/>
        <v>1.6607083383367464E-2</v>
      </c>
      <c r="C7" s="366">
        <f>'Bal. Sheet'!B7/'Inc. Stmt.'!$B$5</f>
        <v>2.6927091768259928E-2</v>
      </c>
      <c r="D7" s="366">
        <f>'Bal. Sheet'!C7/'Inc. Stmt.'!$C$5</f>
        <v>1.8550893060152087E-2</v>
      </c>
      <c r="E7" s="366">
        <f>'Bal. Sheet'!D7/'Inc. Stmt.'!$D$5</f>
        <v>2.2788444101100282E-2</v>
      </c>
      <c r="F7" s="366">
        <f>'Bal. Sheet'!E7/'Inc. Stmt.'!$E$5</f>
        <v>1.8539058334450086E-2</v>
      </c>
      <c r="G7" s="366">
        <f>'Bal. Sheet'!F7/'Inc. Stmt.'!$F$5</f>
        <v>1.360228422800637E-2</v>
      </c>
      <c r="H7" s="366">
        <f>'Bal. Sheet'!G7/'Inc. Stmt.'!$G$5</f>
        <v>9.348543913236692E-3</v>
      </c>
      <c r="I7" s="374">
        <f>'Bal. Sheet'!H7/'Inc. Stmt.'!$H$5</f>
        <v>6.4932682783667784E-3</v>
      </c>
      <c r="J7" s="367">
        <f>'Bal. Sheet'!I7/'Inc. Stmt.'!$I$5</f>
        <v>6.6188245237312569E-3</v>
      </c>
    </row>
    <row r="8" spans="1:28" ht="16.05" customHeight="1">
      <c r="A8" s="376" t="s">
        <v>25</v>
      </c>
      <c r="B8" s="377">
        <f t="shared" si="0"/>
        <v>0.93057229416210219</v>
      </c>
      <c r="C8" s="378">
        <f>'Bal. Sheet'!B8/'Bal. Sheet'!B16</f>
        <v>0.93409019598839838</v>
      </c>
      <c r="D8" s="378">
        <f>'Bal. Sheet'!C8/'Bal. Sheet'!C16</f>
        <v>0.92589593381905322</v>
      </c>
      <c r="E8" s="378">
        <f>'Bal. Sheet'!D8/'Bal. Sheet'!D16</f>
        <v>0.91595160828722744</v>
      </c>
      <c r="F8" s="378">
        <f>'Bal. Sheet'!E8/'Bal. Sheet'!E16</f>
        <v>0.9355136591537746</v>
      </c>
      <c r="G8" s="378">
        <f>'Bal. Sheet'!F8/'Bal. Sheet'!F16</f>
        <v>0.93324354115391006</v>
      </c>
      <c r="H8" s="378">
        <f>'Bal. Sheet'!G8/'Bal. Sheet'!G16</f>
        <v>0.92490193564119161</v>
      </c>
      <c r="I8" s="377">
        <f>'Bal. Sheet'!H8/'Bal. Sheet'!H16</f>
        <v>0.94440918509116023</v>
      </c>
      <c r="J8" s="379">
        <f>'Bal. Sheet'!I8/'Bal. Sheet'!$I$16</f>
        <v>0.95315358579355713</v>
      </c>
    </row>
    <row r="9" spans="1:28" ht="16.05" customHeight="1">
      <c r="A9" s="365" t="s">
        <v>74</v>
      </c>
      <c r="B9" s="374">
        <f t="shared" si="0"/>
        <v>3.7539762129625828E-2</v>
      </c>
      <c r="C9" s="366">
        <f>'Bal. Sheet'!B9/'Bal. Sheet'!$B$16</f>
        <v>2.5852458974574822E-2</v>
      </c>
      <c r="D9" s="366">
        <f>'Bal. Sheet'!C9/'Bal. Sheet'!$C$16</f>
        <v>3.4600400439043832E-2</v>
      </c>
      <c r="E9" s="366">
        <f>'Bal. Sheet'!D9/'Bal. Sheet'!$D$16</f>
        <v>4.6966820954101089E-2</v>
      </c>
      <c r="F9" s="366">
        <f>'Bal. Sheet'!E9/'Bal. Sheet'!$E$16</f>
        <v>3.911476952485711E-2</v>
      </c>
      <c r="G9" s="366">
        <f>'Bal. Sheet'!F9/'Bal. Sheet'!$F$16</f>
        <v>4.483005420749845E-2</v>
      </c>
      <c r="H9" s="366">
        <f>'Bal. Sheet'!G9/'Bal. Sheet'!$G$16</f>
        <v>4.4488425672891775E-2</v>
      </c>
      <c r="I9" s="374">
        <f>'Bal. Sheet'!H9/'Bal. Sheet'!$H$16</f>
        <v>2.6925405134413691E-2</v>
      </c>
      <c r="J9" s="367">
        <f>'Bal. Sheet'!I9/'Bal. Sheet'!$I$16</f>
        <v>2.5897338159796036E-2</v>
      </c>
    </row>
    <row r="10" spans="1:28" ht="16.05" customHeight="1">
      <c r="A10" s="365" t="s">
        <v>27</v>
      </c>
      <c r="B10" s="374">
        <f t="shared" si="0"/>
        <v>2.3294989969099241E-3</v>
      </c>
      <c r="C10" s="366">
        <f>'Bal. Sheet'!B10/'Bal. Sheet'!$B$16</f>
        <v>0</v>
      </c>
      <c r="D10" s="366">
        <f>'Bal. Sheet'!C10/'Bal. Sheet'!$C$16</f>
        <v>3.9541356809919374E-3</v>
      </c>
      <c r="E10" s="366">
        <f>'Bal. Sheet'!D10/'Bal. Sheet'!$D$16</f>
        <v>0</v>
      </c>
      <c r="F10" s="366">
        <f>'Bal. Sheet'!E10/'Bal. Sheet'!$E$16</f>
        <v>3.2323698348720379E-3</v>
      </c>
      <c r="G10" s="366">
        <f>'Bal. Sheet'!F10/'Bal. Sheet'!$F$16</f>
        <v>2.0885741464961422E-3</v>
      </c>
      <c r="H10" s="366">
        <f>'Bal. Sheet'!G10/'Bal. Sheet'!$G$16</f>
        <v>3.8127380662086826E-3</v>
      </c>
      <c r="I10" s="374">
        <f>'Bal. Sheet'!H10/'Bal. Sheet'!$H$16</f>
        <v>3.2186752498006661E-3</v>
      </c>
      <c r="J10" s="367">
        <f>'Bal. Sheet'!I10/'Bal. Sheet'!$I$16</f>
        <v>1.9428557384430312E-3</v>
      </c>
    </row>
    <row r="11" spans="1:28" ht="16.05" customHeight="1">
      <c r="A11" s="365" t="s">
        <v>28</v>
      </c>
      <c r="B11" s="374">
        <f t="shared" si="0"/>
        <v>3.5569156393631283E-3</v>
      </c>
      <c r="C11" s="366">
        <f>'Bal. Sheet'!B11/'Bal. Sheet'!$B$16</f>
        <v>5.9819444763311424E-3</v>
      </c>
      <c r="D11" s="366">
        <f>'Bal. Sheet'!C11/'Bal. Sheet'!$C$16</f>
        <v>4.92153976007922E-3</v>
      </c>
      <c r="E11" s="366">
        <f>'Bal. Sheet'!D11/'Bal. Sheet'!$D$16</f>
        <v>3.6355472585748857E-3</v>
      </c>
      <c r="F11" s="366">
        <f>'Bal. Sheet'!E11/'Bal. Sheet'!$E$16</f>
        <v>1.9776814568451197E-3</v>
      </c>
      <c r="G11" s="366">
        <f>'Bal. Sheet'!F11/'Bal. Sheet'!$F$16</f>
        <v>1.7630271641475531E-3</v>
      </c>
      <c r="H11" s="366">
        <f>'Bal. Sheet'!G11/'Bal. Sheet'!$G$16</f>
        <v>3.7071060398395656E-3</v>
      </c>
      <c r="I11" s="374">
        <f>'Bal. Sheet'!H11/'Bal. Sheet'!$H$16</f>
        <v>2.9115633197244082E-3</v>
      </c>
      <c r="J11" s="367">
        <f>'Bal. Sheet'!I11/'Bal. Sheet'!$I$16</f>
        <v>3.1515596107502537E-3</v>
      </c>
    </row>
    <row r="12" spans="1:28" ht="16.05" customHeight="1">
      <c r="A12" s="365" t="s">
        <v>29</v>
      </c>
      <c r="B12" s="374">
        <f t="shared" si="0"/>
        <v>1.2755545105727248E-2</v>
      </c>
      <c r="C12" s="366">
        <f>'Bal. Sheet'!B12/'Bal. Sheet'!$B$16</f>
        <v>2.1043944971212689E-2</v>
      </c>
      <c r="D12" s="366">
        <f>'Bal. Sheet'!C12/'Bal. Sheet'!$C$16</f>
        <v>1.7431547880791147E-2</v>
      </c>
      <c r="E12" s="366">
        <f>'Bal. Sheet'!D12/'Bal. Sheet'!$D$16</f>
        <v>1.5549422711501375E-2</v>
      </c>
      <c r="F12" s="366">
        <f>'Bal. Sheet'!E12/'Bal. Sheet'!$E$16</f>
        <v>1.1070655694238631E-2</v>
      </c>
      <c r="G12" s="366">
        <f>'Bal. Sheet'!F12/'Bal. Sheet'!$F$16</f>
        <v>9.9343168194241018E-3</v>
      </c>
      <c r="H12" s="366">
        <f>'Bal. Sheet'!G12/'Bal. Sheet'!$G$16</f>
        <v>8.0437999781378493E-3</v>
      </c>
      <c r="I12" s="374">
        <f>'Bal. Sheet'!H12/'Bal. Sheet'!$H$16</f>
        <v>6.2151276847849371E-3</v>
      </c>
      <c r="J12" s="367">
        <f>'Bal. Sheet'!I12/'Bal. Sheet'!$I$16</f>
        <v>5.6425811812640808E-3</v>
      </c>
    </row>
    <row r="13" spans="1:28" ht="16.05" customHeight="1">
      <c r="A13" s="365" t="s">
        <v>30</v>
      </c>
      <c r="B13" s="374">
        <f t="shared" si="0"/>
        <v>4.995993558052546E-4</v>
      </c>
      <c r="C13" s="366">
        <f>'Bal. Sheet'!B13/'Bal. Sheet'!$B$16</f>
        <v>1.0918005270233386E-3</v>
      </c>
      <c r="D13" s="366">
        <f>'Bal. Sheet'!C13/'Bal. Sheet'!$C$16</f>
        <v>8.075025784116984E-4</v>
      </c>
      <c r="E13" s="366">
        <f>'Bal. Sheet'!D13/'Bal. Sheet'!$D$16</f>
        <v>6.2901540885495935E-4</v>
      </c>
      <c r="F13" s="366">
        <f>'Bal. Sheet'!E13/'Bal. Sheet'!$E$16</f>
        <v>3.7767245459666761E-4</v>
      </c>
      <c r="G13" s="366">
        <f>'Bal. Sheet'!F13/'Bal. Sheet'!$F$16</f>
        <v>2.7300043788787052E-4</v>
      </c>
      <c r="H13" s="366">
        <f>'Bal. Sheet'!G13/'Bal. Sheet'!$G$16</f>
        <v>1.9287041630580105E-4</v>
      </c>
      <c r="I13" s="374">
        <f>'Bal. Sheet'!H13/'Bal. Sheet'!$H$16</f>
        <v>1.2533366755644682E-4</v>
      </c>
      <c r="J13" s="367">
        <f>'Bal. Sheet'!I13/'Bal. Sheet'!$I$16</f>
        <v>7.848885565353568E-5</v>
      </c>
    </row>
    <row r="14" spans="1:28" ht="16.05" customHeight="1">
      <c r="A14" s="365" t="s">
        <v>31</v>
      </c>
      <c r="B14" s="374">
        <f t="shared" si="0"/>
        <v>5.5431290944884647E-4</v>
      </c>
      <c r="C14" s="366">
        <f>'Bal. Sheet'!B14/'Bal. Sheet'!$B$16</f>
        <v>8.6731817567274551E-4</v>
      </c>
      <c r="D14" s="366">
        <f>'Bal. Sheet'!C14/'Bal. Sheet'!$C$16</f>
        <v>7.7666443185283576E-4</v>
      </c>
      <c r="E14" s="366">
        <f>'Bal. Sheet'!D14/'Bal. Sheet'!$D$16</f>
        <v>6.8766957881249578E-4</v>
      </c>
      <c r="F14" s="366">
        <f>'Bal. Sheet'!E14/'Bal. Sheet'!$E$16</f>
        <v>4.7824444902371319E-4</v>
      </c>
      <c r="G14" s="366">
        <f>'Bal. Sheet'!F14/'Bal. Sheet'!$F$16</f>
        <v>4.1070862337113263E-4</v>
      </c>
      <c r="H14" s="366">
        <f>'Bal. Sheet'!G14/'Bal. Sheet'!$G$16</f>
        <v>3.5736207925870492E-4</v>
      </c>
      <c r="I14" s="374">
        <f>'Bal. Sheet'!H14/'Bal. Sheet'!$H$16</f>
        <v>3.0222302815029732E-4</v>
      </c>
      <c r="J14" s="367">
        <f>'Bal. Sheet'!I14/'Bal. Sheet'!$I$16</f>
        <v>2.7092599921017395E-4</v>
      </c>
    </row>
    <row r="15" spans="1:28" ht="16.05" customHeight="1">
      <c r="A15" s="365" t="s">
        <v>32</v>
      </c>
      <c r="B15" s="374">
        <f t="shared" si="0"/>
        <v>1.1825410904583503E-2</v>
      </c>
      <c r="C15" s="366">
        <f>'Bal. Sheet'!B15/'Bal. Sheet'!$B$16</f>
        <v>1.1072336886786919E-2</v>
      </c>
      <c r="D15" s="366">
        <f>'Bal. Sheet'!C15/'Bal. Sheet'!$C$16</f>
        <v>1.1612275409776149E-2</v>
      </c>
      <c r="E15" s="366">
        <f>'Bal. Sheet'!D15/'Bal. Sheet'!$D$16</f>
        <v>1.4013290225889343E-2</v>
      </c>
      <c r="F15" s="366">
        <f>'Bal. Sheet'!E15/'Bal. Sheet'!$E$16</f>
        <v>8.2349474317921431E-3</v>
      </c>
      <c r="G15" s="366">
        <f>'Bal. Sheet'!F15/'Bal. Sheet'!$F$16</f>
        <v>7.4567774472647109E-3</v>
      </c>
      <c r="H15" s="366">
        <f>'Bal. Sheet'!G15/'Bal. Sheet'!$G$16</f>
        <v>1.4495762106165967E-2</v>
      </c>
      <c r="I15" s="374">
        <f>'Bal. Sheet'!H15/'Bal. Sheet'!$H$16</f>
        <v>1.5892486824409309E-2</v>
      </c>
      <c r="J15" s="367">
        <f>'Bal. Sheet'!I15/'Bal. Sheet'!$I$16</f>
        <v>9.8626646613255622E-3</v>
      </c>
    </row>
    <row r="16" spans="1:28" s="9" customFormat="1" ht="16.05" customHeight="1" thickBot="1">
      <c r="A16" s="383" t="s">
        <v>33</v>
      </c>
      <c r="B16" s="384">
        <f t="shared" si="0"/>
        <v>1</v>
      </c>
      <c r="C16" s="385">
        <f>'Bal. Sheet'!B16/'Bal. Sheet'!B16</f>
        <v>1</v>
      </c>
      <c r="D16" s="385">
        <f>'Bal. Sheet'!C16/'Bal. Sheet'!C16</f>
        <v>1</v>
      </c>
      <c r="E16" s="385">
        <f>'Bal. Sheet'!D16/'Bal. Sheet'!D16</f>
        <v>1</v>
      </c>
      <c r="F16" s="385">
        <f>'Bal. Sheet'!E16/'Bal. Sheet'!E16</f>
        <v>1</v>
      </c>
      <c r="G16" s="385">
        <f>'Bal. Sheet'!F16/'Bal. Sheet'!F16</f>
        <v>1</v>
      </c>
      <c r="H16" s="385">
        <f>'Bal. Sheet'!G16/'Bal. Sheet'!G16</f>
        <v>1</v>
      </c>
      <c r="I16" s="384">
        <f>'Bal. Sheet'!H16/'Bal. Sheet'!H16</f>
        <v>1</v>
      </c>
      <c r="J16" s="386">
        <f>'Bal. Sheet'!I16/'Bal. Sheet'!I16</f>
        <v>1</v>
      </c>
      <c r="K16"/>
      <c r="L16"/>
      <c r="M16"/>
      <c r="N16"/>
      <c r="O16"/>
      <c r="P16"/>
      <c r="Q16"/>
      <c r="R16"/>
      <c r="S16"/>
      <c r="T16"/>
      <c r="U16"/>
      <c r="V16"/>
      <c r="W16"/>
      <c r="X16"/>
      <c r="Y16"/>
      <c r="Z16"/>
      <c r="AA16"/>
      <c r="AB16"/>
    </row>
    <row r="17" spans="1:10" ht="16.05" customHeight="1" thickTop="1">
      <c r="A17" s="371" t="s">
        <v>34</v>
      </c>
      <c r="B17" s="375"/>
      <c r="C17" s="372"/>
      <c r="D17" s="372"/>
      <c r="E17" s="372"/>
      <c r="F17" s="372"/>
      <c r="G17" s="372"/>
      <c r="H17" s="372"/>
      <c r="I17" s="375"/>
      <c r="J17" s="372"/>
    </row>
    <row r="18" spans="1:10" ht="16.05" customHeight="1">
      <c r="A18" s="365" t="s">
        <v>35</v>
      </c>
      <c r="B18" s="374">
        <f>AVERAGE(C18:I18)</f>
        <v>3.2280845872960963E-2</v>
      </c>
      <c r="C18" s="366">
        <f>'Bal. Sheet'!B18/'Inc. Stmt.'!$B$5</f>
        <v>4.183616693417911E-2</v>
      </c>
      <c r="D18" s="366">
        <f>'Bal. Sheet'!C18/'Inc. Stmt.'!$C$5</f>
        <v>3.7950635373771566E-2</v>
      </c>
      <c r="E18" s="366">
        <f>'Bal. Sheet'!D18/'Inc. Stmt.'!$D$5</f>
        <v>2.5123434844127331E-2</v>
      </c>
      <c r="F18" s="366">
        <f>'Bal. Sheet'!E18/'Inc. Stmt.'!$E$5</f>
        <v>3.2563106076374533E-2</v>
      </c>
      <c r="G18" s="366">
        <f>'Bal. Sheet'!F18/'Inc. Stmt.'!$F$5</f>
        <v>2.9471046932147301E-2</v>
      </c>
      <c r="H18" s="366">
        <f>'Bal. Sheet'!G18/'Inc. Stmt.'!$G$5</f>
        <v>3.0556727475234993E-2</v>
      </c>
      <c r="I18" s="374">
        <f>'Bal. Sheet'!H18/'Inc. Stmt.'!$H$5</f>
        <v>2.8464803474891887E-2</v>
      </c>
      <c r="J18" s="367">
        <f>'Bal. Sheet'!I18/'Inc. Stmt.'!$I$5</f>
        <v>2.9400720867714055E-2</v>
      </c>
    </row>
    <row r="19" spans="1:10" ht="16.05" customHeight="1">
      <c r="A19" s="365" t="s">
        <v>36</v>
      </c>
      <c r="B19" s="374">
        <f>AVERAGE(C19:I19)</f>
        <v>4.5962439548295216E-2</v>
      </c>
      <c r="C19" s="366">
        <f>'Bal. Sheet'!B19/'Inc. Stmt.'!$B$5</f>
        <v>4.6822962348892883E-2</v>
      </c>
      <c r="D19" s="366">
        <f>'Bal. Sheet'!C19/'Inc. Stmt.'!$C$5</f>
        <v>3.1144683323649041E-2</v>
      </c>
      <c r="E19" s="366">
        <f>'Bal. Sheet'!D19/'Inc. Stmt.'!$D$5</f>
        <v>4.1408945094419072E-2</v>
      </c>
      <c r="F19" s="366">
        <f>'Bal. Sheet'!E19/'Inc. Stmt.'!$E$5</f>
        <v>4.3732304209352785E-2</v>
      </c>
      <c r="G19" s="366">
        <f>'Bal. Sheet'!F19/'Inc. Stmt.'!$F$5</f>
        <v>5.1929322735953548E-2</v>
      </c>
      <c r="H19" s="366">
        <f>'Bal. Sheet'!G19/'Inc. Stmt.'!$G$5</f>
        <v>5.4259131129374305E-2</v>
      </c>
      <c r="I19" s="374">
        <f>'Bal. Sheet'!H19/'Inc. Stmt.'!$H$5</f>
        <v>5.2439727996424865E-2</v>
      </c>
      <c r="J19" s="367">
        <f>'Bal. Sheet'!I19/'Inc. Stmt.'!$I$5</f>
        <v>5.2516047421060544E-2</v>
      </c>
    </row>
    <row r="20" spans="1:10" ht="16.05" customHeight="1">
      <c r="A20" s="365" t="s">
        <v>37</v>
      </c>
      <c r="B20" s="374">
        <f>AVERAGE(C20:I20)</f>
        <v>3.2164372414005125E-2</v>
      </c>
      <c r="C20" s="366">
        <f>'Bal. Sheet'!B20/'Inc. Stmt.'!$B$5</f>
        <v>5.1275801855857561E-2</v>
      </c>
      <c r="D20" s="366">
        <f>'Bal. Sheet'!C20/'Inc. Stmt.'!$C$5</f>
        <v>3.0257939014223276E-2</v>
      </c>
      <c r="E20" s="366">
        <f>'Bal. Sheet'!D20/'Inc. Stmt.'!$D$5</f>
        <v>3.9067806942678487E-2</v>
      </c>
      <c r="F20" s="366">
        <f>'Bal. Sheet'!E20/'Inc. Stmt.'!$E$5</f>
        <v>4.6055389072163187E-2</v>
      </c>
      <c r="G20" s="366">
        <f>'Bal. Sheet'!F20/'Inc. Stmt.'!$F$5</f>
        <v>1.6561677057537492E-2</v>
      </c>
      <c r="H20" s="366">
        <f>'Bal. Sheet'!G20/'Inc. Stmt.'!$G$5</f>
        <v>2.4271675357623011E-2</v>
      </c>
      <c r="I20" s="374">
        <f>'Bal. Sheet'!H20/'Inc. Stmt.'!$H$5</f>
        <v>1.7660317597952873E-2</v>
      </c>
      <c r="J20" s="367">
        <f>'Bal. Sheet'!I20/'Inc. Stmt.'!$I$5</f>
        <v>3.2164372414005125E-2</v>
      </c>
    </row>
    <row r="21" spans="1:10" ht="16.05" customHeight="1">
      <c r="A21" s="365" t="s">
        <v>38</v>
      </c>
      <c r="B21" s="374">
        <f>AVERAGE(C21:I21)</f>
        <v>2.9991944113493367E-3</v>
      </c>
      <c r="C21" s="366">
        <f>'Bal. Sheet'!B21/'Inc. Stmt.'!$B$5</f>
        <v>0</v>
      </c>
      <c r="D21" s="366">
        <f>'Bal. Sheet'!C21/'Inc. Stmt.'!$C$5</f>
        <v>4.5019326478538766E-3</v>
      </c>
      <c r="E21" s="366">
        <f>'Bal. Sheet'!D21/'Inc. Stmt.'!$D$5</f>
        <v>2.6546559961312306E-3</v>
      </c>
      <c r="F21" s="366">
        <f>'Bal. Sheet'!E21/'Inc. Stmt.'!$E$5</f>
        <v>3.3823374268288856E-3</v>
      </c>
      <c r="G21" s="366">
        <f>'Bal. Sheet'!F21/'Inc. Stmt.'!$F$5</f>
        <v>2.0377826058017071E-3</v>
      </c>
      <c r="H21" s="366">
        <f>'Bal. Sheet'!G21/'Inc. Stmt.'!$G$5</f>
        <v>4.4427943815357959E-3</v>
      </c>
      <c r="I21" s="374">
        <f>'Bal. Sheet'!H21/'Inc. Stmt.'!$H$5</f>
        <v>3.9748578212938611E-3</v>
      </c>
      <c r="J21" s="367">
        <f>'Bal. Sheet'!I21/'Inc. Stmt.'!$I$5</f>
        <v>4.1848055893714056E-3</v>
      </c>
    </row>
    <row r="22" spans="1:10" ht="16.05" customHeight="1">
      <c r="A22" s="365" t="s">
        <v>75</v>
      </c>
      <c r="B22" s="374">
        <f>AVERAGE(F22:J22)</f>
        <v>1.0044729290796358E-2</v>
      </c>
      <c r="C22" s="366">
        <f>'Bal. Sheet'!B22/'Inc. Stmt.'!$B$5</f>
        <v>0.32131317876940002</v>
      </c>
      <c r="D22" s="366">
        <f>'Bal. Sheet'!C22/'Inc. Stmt.'!$C$5</f>
        <v>0.20797059343657631</v>
      </c>
      <c r="E22" s="366">
        <f>'Bal. Sheet'!D22/'Inc. Stmt.'!$D$5</f>
        <v>0.10930809890360965</v>
      </c>
      <c r="F22" s="366">
        <f>'Bal. Sheet'!E22/'Inc. Stmt.'!$E$5</f>
        <v>5.2606217513165808E-4</v>
      </c>
      <c r="G22" s="366">
        <f>'Bal. Sheet'!F22/'Inc. Stmt.'!$F$5</f>
        <v>9.8959320010945546E-3</v>
      </c>
      <c r="H22" s="366">
        <f>'Bal. Sheet'!G22/'Inc. Stmt.'!$G$5</f>
        <v>-1.3095499265909512E-3</v>
      </c>
      <c r="I22" s="374">
        <f>'Bal. Sheet'!H22/'Inc. Stmt.'!$H$5</f>
        <v>1.0788763677717784E-2</v>
      </c>
      <c r="J22" s="367">
        <f>'Bal. Sheet'!I22/'Inc. Stmt.'!$I$5</f>
        <v>3.0322438526628748E-2</v>
      </c>
    </row>
    <row r="23" spans="1:10" ht="16.05" customHeight="1">
      <c r="A23" s="365" t="s">
        <v>40</v>
      </c>
      <c r="B23" s="374">
        <f t="shared" ref="B23:B28" si="1">AVERAGE(C23:I23)</f>
        <v>0.13832715371442056</v>
      </c>
      <c r="C23" s="366">
        <f>'Bal. Sheet'!B25/'Inc. Stmt.'!$B$5</f>
        <v>0</v>
      </c>
      <c r="D23" s="366">
        <f>'Bal. Sheet'!C25/'Inc. Stmt.'!$C$5</f>
        <v>9.2724149255993732E-2</v>
      </c>
      <c r="E23" s="366">
        <f>'Bal. Sheet'!D25/'Inc. Stmt.'!$D$5</f>
        <v>0.11378443701518717</v>
      </c>
      <c r="F23" s="366">
        <f>'Bal. Sheet'!E25/'Inc. Stmt.'!$E$5</f>
        <v>0.23911307913172655</v>
      </c>
      <c r="G23" s="366">
        <f>'Bal. Sheet'!F25/'Inc. Stmt.'!$F$5</f>
        <v>0.19104923048390796</v>
      </c>
      <c r="H23" s="366">
        <f>'Bal. Sheet'!G25/'Inc. Stmt.'!$G$5</f>
        <v>0.18912364783907387</v>
      </c>
      <c r="I23" s="374">
        <f>'Bal. Sheet'!H25/'Inc. Stmt.'!$H$5</f>
        <v>0.14249553227505463</v>
      </c>
      <c r="J23" s="367">
        <f>'Bal. Sheet'!I25/'Inc. Stmt.'!I$5</f>
        <v>0.14295122771423166</v>
      </c>
    </row>
    <row r="24" spans="1:10" ht="16.05" customHeight="1">
      <c r="A24" s="365" t="s">
        <v>41</v>
      </c>
      <c r="B24" s="374">
        <f t="shared" si="1"/>
        <v>3.5760529901663748E-3</v>
      </c>
      <c r="C24" s="366">
        <f>'Bal. Sheet'!B23/'Inc. Stmt.'!$B$5</f>
        <v>0</v>
      </c>
      <c r="D24" s="366">
        <f>'Bal. Sheet'!C23/'Inc. Stmt.'!$C$5</f>
        <v>0</v>
      </c>
      <c r="E24" s="366">
        <f>'Bal. Sheet'!D23/'Inc. Stmt.'!$D$5</f>
        <v>2.1772072527128004E-3</v>
      </c>
      <c r="F24" s="366">
        <f>'Bal. Sheet'!E23/'Inc. Stmt.'!$E$5</f>
        <v>1.4969248885860189E-4</v>
      </c>
      <c r="G24" s="366">
        <f>'Bal. Sheet'!F23/'Inc. Stmt.'!$F$5</f>
        <v>8.3183856119577217E-3</v>
      </c>
      <c r="H24" s="366">
        <f>'Bal. Sheet'!G23/'Inc. Stmt.'!$G$5</f>
        <v>7.3020908922152659E-3</v>
      </c>
      <c r="I24" s="374">
        <f>'Bal. Sheet'!H23/'Inc. Stmt.'!$H$5</f>
        <v>7.0849946854202326E-3</v>
      </c>
      <c r="J24" s="367">
        <f>'Bal. Sheet'!I23/'Inc. Stmt.'!$I$5</f>
        <v>5.9336278745891601E-3</v>
      </c>
    </row>
    <row r="25" spans="1:10" ht="16.05" customHeight="1">
      <c r="A25" s="376" t="s">
        <v>401</v>
      </c>
      <c r="B25" s="377">
        <f t="shared" si="1"/>
        <v>0.19142243290178326</v>
      </c>
      <c r="C25" s="378">
        <f>'Bal. Sheet'!B24/'Bal. Sheet'!B38</f>
        <v>0.36689599579605781</v>
      </c>
      <c r="D25" s="378">
        <f>'Bal. Sheet'!C24/'Bal. Sheet'!C38</f>
        <v>0.2819520318341045</v>
      </c>
      <c r="E25" s="378">
        <f>'Bal. Sheet'!D24/'Bal. Sheet'!D38</f>
        <v>0.21688997387866879</v>
      </c>
      <c r="F25" s="378">
        <f>'Bal. Sheet'!E24/'Bal. Sheet'!E38</f>
        <v>0.12472052590010177</v>
      </c>
      <c r="G25" s="378">
        <f>'Bal. Sheet'!F24/'Bal. Sheet'!F38</f>
        <v>0.12550530750298217</v>
      </c>
      <c r="H25" s="378">
        <f>'Bal. Sheet'!G24/'Bal. Sheet'!G38</f>
        <v>0.11166356252154683</v>
      </c>
      <c r="I25" s="377">
        <f>'Bal. Sheet'!H24/'Bal. Sheet'!H38</f>
        <v>0.11232963287902101</v>
      </c>
      <c r="J25" s="379">
        <f>'Bal. Sheet'!I24/'Bal. Sheet'!I38</f>
        <v>0.12887489439564379</v>
      </c>
    </row>
    <row r="26" spans="1:10" ht="16.05" customHeight="1">
      <c r="A26" s="365" t="s">
        <v>402</v>
      </c>
      <c r="B26" s="374">
        <f t="shared" si="1"/>
        <v>1.314690164134797E-3</v>
      </c>
      <c r="C26" s="366">
        <f>'Bal. Sheet'!B26/'Bal. Sheet'!B$38</f>
        <v>2.8149576672202199E-3</v>
      </c>
      <c r="D26" s="366">
        <f>'Bal. Sheet'!C26/'Bal. Sheet'!C$38</f>
        <v>6.0157228861307151E-3</v>
      </c>
      <c r="E26" s="366">
        <f>'Bal. Sheet'!D26/'Bal. Sheet'!D$38</f>
        <v>3.7215059559264478E-4</v>
      </c>
      <c r="F26" s="366">
        <f>'Bal. Sheet'!E26/'Bal. Sheet'!E$38</f>
        <v>0</v>
      </c>
      <c r="G26" s="366">
        <f>'Bal. Sheet'!F26/'Bal. Sheet'!F$38</f>
        <v>0</v>
      </c>
      <c r="H26" s="366">
        <f>'Bal. Sheet'!G26/'Bal. Sheet'!G$38</f>
        <v>0</v>
      </c>
      <c r="I26" s="374">
        <f>'Bal. Sheet'!H26/'Bal. Sheet'!H$38</f>
        <v>0</v>
      </c>
      <c r="J26" s="367">
        <f>'Bal. Sheet'!I26/'Bal. Sheet'!I$38</f>
        <v>0</v>
      </c>
    </row>
    <row r="27" spans="1:10" ht="16.05" customHeight="1">
      <c r="A27" s="376" t="s">
        <v>44</v>
      </c>
      <c r="B27" s="377">
        <f t="shared" si="1"/>
        <v>0.32752004369282012</v>
      </c>
      <c r="C27" s="378">
        <f>'Bal. Sheet'!B27/'Bal. Sheet'!B38</f>
        <v>0.36971095346327798</v>
      </c>
      <c r="D27" s="378">
        <f>'Bal. Sheet'!C27/'Bal. Sheet'!C38</f>
        <v>0.37180868013874879</v>
      </c>
      <c r="E27" s="378">
        <f>'Bal. Sheet'!D27/'Bal. Sheet'!D38</f>
        <v>0.32957070203985045</v>
      </c>
      <c r="F27" s="378">
        <f>'Bal. Sheet'!E27/'Bal. Sheet'!E38</f>
        <v>0.35960184743017454</v>
      </c>
      <c r="G27" s="378">
        <f>'Bal. Sheet'!F27/'Bal. Sheet'!F38</f>
        <v>0.32833798903770367</v>
      </c>
      <c r="H27" s="378">
        <f>'Bal. Sheet'!G27/'Bal. Sheet'!G38</f>
        <v>0.28835125749409302</v>
      </c>
      <c r="I27" s="377">
        <f>'Bal. Sheet'!H27/'Bal. Sheet'!H38</f>
        <v>0.24525887624589221</v>
      </c>
      <c r="J27" s="379">
        <f>'Bal. Sheet'!I27/'Bal. Sheet'!I38</f>
        <v>0.24809948935323853</v>
      </c>
    </row>
    <row r="28" spans="1:10" ht="16.05" customHeight="1">
      <c r="A28" s="365" t="s">
        <v>45</v>
      </c>
      <c r="B28" s="374">
        <f t="shared" si="1"/>
        <v>1.6003199359160881E-2</v>
      </c>
      <c r="C28" s="366">
        <f>'Bal. Sheet'!B28/'Bal. Sheet'!B38</f>
        <v>1.0881016700976753E-2</v>
      </c>
      <c r="D28" s="366">
        <f>'Bal. Sheet'!C28/'Bal. Sheet'!C38</f>
        <v>1.5545852326395512E-2</v>
      </c>
      <c r="E28" s="366">
        <f>'Bal. Sheet'!D28/'Bal. Sheet'!D38</f>
        <v>1.369574868508475E-2</v>
      </c>
      <c r="F28" s="366">
        <f>'Bal. Sheet'!E28/'Bal. Sheet'!E38</f>
        <v>1.5379075539414025E-2</v>
      </c>
      <c r="G28" s="366">
        <f>'Bal. Sheet'!F28/'Bal. Sheet'!F38</f>
        <v>1.7659866821689039E-2</v>
      </c>
      <c r="H28" s="366">
        <f>'Bal. Sheet'!G28/'Bal. Sheet'!G38</f>
        <v>1.8990115785313681E-2</v>
      </c>
      <c r="I28" s="374">
        <f>'Bal. Sheet'!H28/'Bal. Sheet'!H38</f>
        <v>1.9870719655252413E-2</v>
      </c>
      <c r="J28" s="367">
        <f>'Bal. Sheet'!I28/'Bal. Sheet'!I38</f>
        <v>2.5298110069797548E-2</v>
      </c>
    </row>
    <row r="29" spans="1:10" ht="16.05" customHeight="1">
      <c r="A29" s="371" t="s">
        <v>46</v>
      </c>
      <c r="B29" s="375"/>
      <c r="C29" s="372"/>
      <c r="D29" s="372"/>
      <c r="E29" s="372"/>
      <c r="F29" s="372"/>
      <c r="G29" s="372"/>
      <c r="H29" s="372"/>
      <c r="I29" s="375"/>
      <c r="J29" s="372"/>
    </row>
    <row r="30" spans="1:10" ht="16.05" customHeight="1">
      <c r="A30" s="365" t="s">
        <v>47</v>
      </c>
      <c r="B30" s="374">
        <f t="shared" ref="B30:B37" si="2">AVERAGE(C30:I30)</f>
        <v>4.0236108203117054E-4</v>
      </c>
      <c r="C30" s="366">
        <f>'Bal. Sheet'!B31/'Bal. Sheet'!$B$38</f>
        <v>6.4666222803835588E-4</v>
      </c>
      <c r="D30" s="366">
        <f>'Bal. Sheet'!C31/'Bal. Sheet'!$C$38</f>
        <v>5.8135617031337267E-4</v>
      </c>
      <c r="E30" s="366">
        <f>'Bal. Sheet'!D31/'Bal. Sheet'!$D$38</f>
        <v>5.1676346290174314E-4</v>
      </c>
      <c r="F30" s="366">
        <f>'Bal. Sheet'!E31/'Bal. Sheet'!$E$38</f>
        <v>3.6008993808844288E-4</v>
      </c>
      <c r="G30" s="366">
        <f>'Bal. Sheet'!F31/'Bal. Sheet'!$F$38</f>
        <v>2.7783230404517797E-4</v>
      </c>
      <c r="H30" s="366">
        <f>'Bal. Sheet'!G31/'Bal. Sheet'!$G$38</f>
        <v>2.3648961127414295E-4</v>
      </c>
      <c r="I30" s="374">
        <f>'Bal. Sheet'!H31/'Bal. Sheet'!$H$38</f>
        <v>1.9733385955695882E-4</v>
      </c>
      <c r="J30" s="367">
        <f>'Bal. Sheet'!I31/'Bal. Sheet'!$I$38</f>
        <v>1.7689871599770241E-4</v>
      </c>
    </row>
    <row r="31" spans="1:10" ht="16.05" customHeight="1">
      <c r="A31" s="365" t="s">
        <v>48</v>
      </c>
      <c r="B31" s="374">
        <f t="shared" si="2"/>
        <v>8.0234105072348532E-5</v>
      </c>
      <c r="C31" s="366">
        <f>'Bal. Sheet'!B32/'Bal. Sheet'!$B$38</f>
        <v>-1.2512340151984757E-3</v>
      </c>
      <c r="D31" s="366">
        <f>'Bal. Sheet'!C32/'Bal. Sheet'!$C$38</f>
        <v>-3.6172003759969572E-3</v>
      </c>
      <c r="E31" s="366">
        <f>'Bal. Sheet'!D32/'Bal. Sheet'!$D$38</f>
        <v>3.2027199354399617E-3</v>
      </c>
      <c r="F31" s="366">
        <f>'Bal. Sheet'!E32/'Bal. Sheet'!$E$38</f>
        <v>2.2273531912619113E-3</v>
      </c>
      <c r="G31" s="366">
        <f>'Bal. Sheet'!F32/'Bal. Sheet'!$F$38</f>
        <v>0</v>
      </c>
      <c r="H31" s="366">
        <f>'Bal. Sheet'!G32/'Bal. Sheet'!$G$38</f>
        <v>0</v>
      </c>
      <c r="I31" s="374">
        <f>'Bal. Sheet'!H32/'Bal. Sheet'!H$38</f>
        <v>0</v>
      </c>
      <c r="J31" s="367">
        <f>'Bal. Sheet'!I32/'Bal. Sheet'!$I$38</f>
        <v>0</v>
      </c>
    </row>
    <row r="32" spans="1:10" ht="16.05" customHeight="1">
      <c r="A32" s="365" t="s">
        <v>49</v>
      </c>
      <c r="B32" s="374">
        <f t="shared" si="2"/>
        <v>0.22909735409367096</v>
      </c>
      <c r="C32" s="366">
        <f>'Bal. Sheet'!B33/'Bal. Sheet'!$B$38</f>
        <v>0.37154252537543397</v>
      </c>
      <c r="D32" s="366">
        <f>'Bal. Sheet'!C33/'Bal. Sheet'!$C$38</f>
        <v>0.33213711782113647</v>
      </c>
      <c r="E32" s="366">
        <f>'Bal. Sheet'!D33/'Bal. Sheet'!$D$38</f>
        <v>0.29654941563254983</v>
      </c>
      <c r="F32" s="366">
        <f>'Bal. Sheet'!E33/'Bal. Sheet'!$E$38</f>
        <v>0.20370470655834899</v>
      </c>
      <c r="G32" s="366">
        <f>'Bal. Sheet'!F33/'Bal. Sheet'!$F$38</f>
        <v>0.15667929998339045</v>
      </c>
      <c r="H32" s="366">
        <f>'Bal. Sheet'!G33/'Bal. Sheet'!$G$38</f>
        <v>0.13433345665828617</v>
      </c>
      <c r="I32" s="374">
        <f>'Bal. Sheet'!H33/'Bal. Sheet'!$H$38</f>
        <v>0.108734956626551</v>
      </c>
      <c r="J32" s="367">
        <f>'Bal. Sheet'!I33/'Bal. Sheet'!$I$38</f>
        <v>9.9001964636542247E-2</v>
      </c>
    </row>
    <row r="33" spans="1:24" ht="16.05" customHeight="1">
      <c r="A33" s="365" t="s">
        <v>50</v>
      </c>
      <c r="B33" s="374">
        <f t="shared" si="2"/>
        <v>0.40000814698823828</v>
      </c>
      <c r="C33" s="366">
        <f>'Bal. Sheet'!B34/'Bal. Sheet'!$B$38</f>
        <v>0.22642871537423503</v>
      </c>
      <c r="D33" s="366">
        <f>'Bal. Sheet'!C34/'Bal. Sheet'!$C$38</f>
        <v>0.26843692856628887</v>
      </c>
      <c r="E33" s="366">
        <f>'Bal. Sheet'!D34/'Bal. Sheet'!$D$38</f>
        <v>0.35359969742538533</v>
      </c>
      <c r="F33" s="366">
        <f>'Bal. Sheet'!E34/'Bal. Sheet'!$E$38</f>
        <v>0.37968811428917049</v>
      </c>
      <c r="G33" s="366">
        <f>'Bal. Sheet'!F34/'Bal. Sheet'!$F$38</f>
        <v>0.45560934362118172</v>
      </c>
      <c r="H33" s="366">
        <f>'Bal. Sheet'!G34/'Bal. Sheet'!$G$38</f>
        <v>0.52397531679097265</v>
      </c>
      <c r="I33" s="374">
        <f>'Bal. Sheet'!H34/'Bal. Sheet'!$H$38</f>
        <v>0.59231891285043425</v>
      </c>
      <c r="J33" s="367">
        <f>'Bal. Sheet'!I34/'Bal. Sheet'!$I$38</f>
        <v>0.59388904602251014</v>
      </c>
    </row>
    <row r="34" spans="1:24" ht="16.05" customHeight="1">
      <c r="A34" s="376" t="s">
        <v>51</v>
      </c>
      <c r="B34" s="377">
        <f t="shared" si="2"/>
        <v>0.64354043626473734</v>
      </c>
      <c r="C34" s="378">
        <f>'Bal. Sheet'!B35/'Bal. Sheet'!$B$38</f>
        <v>0.5973666689625089</v>
      </c>
      <c r="D34" s="378">
        <f>'Bal. Sheet'!C35/'Bal. Sheet'!$C$38</f>
        <v>0.59753820218174181</v>
      </c>
      <c r="E34" s="378">
        <f>'Bal. Sheet'!D35/'Bal. Sheet'!$D$38</f>
        <v>0.64746315658539688</v>
      </c>
      <c r="F34" s="378">
        <f>'Bal. Sheet'!E35/'Bal. Sheet'!$E$38</f>
        <v>0.61507018588939755</v>
      </c>
      <c r="G34" s="378">
        <f>'Bal. Sheet'!F35/'Bal. Sheet'!$F$38</f>
        <v>0.64137406193848434</v>
      </c>
      <c r="H34" s="378">
        <f>'Bal. Sheet'!G35/'Bal. Sheet'!$G$38</f>
        <v>0.68356218520605072</v>
      </c>
      <c r="I34" s="377">
        <f>'Bal. Sheet'!H35/'Bal. Sheet'!$H$38</f>
        <v>0.72240859308958161</v>
      </c>
      <c r="J34" s="379">
        <f>'Bal. Sheet'!I35/'Bal. Sheet'!$I$38</f>
        <v>0.72708155760415094</v>
      </c>
    </row>
    <row r="35" spans="1:24" ht="16.05" customHeight="1">
      <c r="A35" s="365" t="s">
        <v>52</v>
      </c>
      <c r="B35" s="374">
        <f t="shared" si="2"/>
        <v>1.2936320683281622E-2</v>
      </c>
      <c r="C35" s="366">
        <f>'Bal. Sheet'!B36/'Bal. Sheet'!$B$38</f>
        <v>2.2041360873236347E-2</v>
      </c>
      <c r="D35" s="366">
        <f>'Bal. Sheet'!C36/'Bal. Sheet'!$C$38</f>
        <v>1.510726535311391E-2</v>
      </c>
      <c r="E35" s="366">
        <f>'Bal. Sheet'!D36/'Bal. Sheet'!$D$38</f>
        <v>9.270392689667865E-3</v>
      </c>
      <c r="F35" s="366">
        <f>'Bal. Sheet'!E36/'Bal. Sheet'!$E$38</f>
        <v>9.9488911410138929E-3</v>
      </c>
      <c r="G35" s="366">
        <f>'Bal. Sheet'!F36/'Bal. Sheet'!$F$38</f>
        <v>1.2628082202123001E-2</v>
      </c>
      <c r="H35" s="366">
        <f>'Bal. Sheet'!G36/'Bal. Sheet'!$G$38</f>
        <v>9.0964415145425338E-3</v>
      </c>
      <c r="I35" s="374">
        <f>'Bal. Sheet'!H36/'Bal. Sheet'!$H$38</f>
        <v>1.2461811009273802E-2</v>
      </c>
      <c r="J35" s="367">
        <f>'Bal. Sheet'!I36/'Bal. Sheet'!$I$38</f>
        <v>1.1071281043776134E-2</v>
      </c>
    </row>
    <row r="36" spans="1:24" ht="16.05" customHeight="1">
      <c r="A36" s="376" t="s">
        <v>53</v>
      </c>
      <c r="B36" s="377">
        <f t="shared" si="2"/>
        <v>0.6564767569480191</v>
      </c>
      <c r="C36" s="378">
        <f>'Bal. Sheet'!B37/'Bal. Sheet'!$B$38</f>
        <v>0.61940802983574528</v>
      </c>
      <c r="D36" s="378">
        <f>'Bal. Sheet'!C37/'Bal. Sheet'!$C$38</f>
        <v>0.61264546753485571</v>
      </c>
      <c r="E36" s="378">
        <f>'Bal. Sheet'!D37/'Bal. Sheet'!$D$38</f>
        <v>0.65673354927506478</v>
      </c>
      <c r="F36" s="378">
        <f>'Bal. Sheet'!E37/'Bal. Sheet'!$E$38</f>
        <v>0.62501907703041137</v>
      </c>
      <c r="G36" s="378">
        <f>'Bal. Sheet'!F37/'Bal. Sheet'!$F$38</f>
        <v>0.65400214414060731</v>
      </c>
      <c r="H36" s="378">
        <f>'Bal. Sheet'!G37/'Bal. Sheet'!$G$38</f>
        <v>0.69265862672059331</v>
      </c>
      <c r="I36" s="377">
        <f>'Bal. Sheet'!H37/'Bal. Sheet'!$H$38</f>
        <v>0.7348704040988554</v>
      </c>
      <c r="J36" s="379">
        <f>'Bal. Sheet'!I37/'Bal. Sheet'!$I$38</f>
        <v>0.73815283864792713</v>
      </c>
    </row>
    <row r="37" spans="1:24" ht="16.05" customHeight="1" thickBot="1">
      <c r="A37" s="383" t="s">
        <v>54</v>
      </c>
      <c r="B37" s="384">
        <f t="shared" si="2"/>
        <v>1</v>
      </c>
      <c r="C37" s="385">
        <f>'Bal. Sheet'!B38/'Bal. Sheet'!B38</f>
        <v>1</v>
      </c>
      <c r="D37" s="385">
        <f>'Bal. Sheet'!C38/'Bal. Sheet'!C38</f>
        <v>1</v>
      </c>
      <c r="E37" s="385">
        <f>'Bal. Sheet'!D38/'Bal. Sheet'!D38</f>
        <v>1</v>
      </c>
      <c r="F37" s="385">
        <f>'Bal. Sheet'!E38/'Bal. Sheet'!E38</f>
        <v>1</v>
      </c>
      <c r="G37" s="385">
        <f>'Bal. Sheet'!F38/'Bal. Sheet'!F38</f>
        <v>1</v>
      </c>
      <c r="H37" s="385">
        <f>'Bal. Sheet'!G38/'Bal. Sheet'!G38</f>
        <v>1</v>
      </c>
      <c r="I37" s="384">
        <f>'Bal. Sheet'!H38/'Bal. Sheet'!H38</f>
        <v>1</v>
      </c>
      <c r="J37" s="386">
        <f>'Bal. Sheet'!I38/'Bal. Sheet'!I38</f>
        <v>1</v>
      </c>
    </row>
    <row r="38" spans="1:24" ht="16.05" customHeight="1" thickTop="1"/>
    <row r="39" spans="1:24" ht="16.05" customHeight="1">
      <c r="R39" s="3"/>
      <c r="U39" s="3"/>
      <c r="V39" s="3"/>
      <c r="W39" s="3"/>
    </row>
    <row r="41" spans="1:24" ht="16.05" customHeight="1">
      <c r="R41" s="3"/>
      <c r="V41" s="3"/>
      <c r="X41" s="3"/>
    </row>
    <row r="43" spans="1:24" ht="16.05" customHeight="1">
      <c r="R43" s="3"/>
      <c r="V43" s="3"/>
      <c r="W43" s="3"/>
    </row>
    <row r="45" spans="1:24" ht="16.05" customHeight="1">
      <c r="S45"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12104-FB5C-4B34-BF0B-F3BA070CF3BB}">
  <sheetPr>
    <tabColor rgb="FFDAF2D0"/>
  </sheetPr>
  <dimension ref="A1:Q40"/>
  <sheetViews>
    <sheetView showGridLines="0" workbookViewId="0">
      <selection activeCell="A2" sqref="A2"/>
    </sheetView>
  </sheetViews>
  <sheetFormatPr defaultColWidth="16.77734375" defaultRowHeight="16.05" customHeight="1"/>
  <cols>
    <col min="1" max="1" width="66.77734375" customWidth="1"/>
  </cols>
  <sheetData>
    <row r="1" spans="1:17" ht="30" customHeight="1">
      <c r="A1" s="368" t="s">
        <v>421</v>
      </c>
      <c r="B1" s="368"/>
      <c r="C1" s="368"/>
      <c r="D1" s="368"/>
      <c r="E1" s="368"/>
      <c r="F1" s="368"/>
      <c r="G1" s="368"/>
      <c r="H1" s="368"/>
      <c r="I1" s="368"/>
      <c r="J1" s="368"/>
      <c r="K1" s="14"/>
      <c r="L1" s="14"/>
      <c r="M1" s="14"/>
      <c r="N1" s="14"/>
      <c r="O1" s="14"/>
      <c r="P1" s="14"/>
      <c r="Q1" s="14"/>
    </row>
    <row r="2" spans="1:17" ht="16.05" customHeight="1">
      <c r="A2" s="380" t="s">
        <v>18</v>
      </c>
      <c r="B2" s="382" t="s">
        <v>422</v>
      </c>
      <c r="C2" s="382" t="s">
        <v>423</v>
      </c>
      <c r="D2" s="382" t="s">
        <v>424</v>
      </c>
      <c r="E2" s="424" t="s">
        <v>425</v>
      </c>
      <c r="F2" s="382" t="s">
        <v>426</v>
      </c>
      <c r="G2" s="382" t="s">
        <v>427</v>
      </c>
      <c r="H2" s="382" t="s">
        <v>428</v>
      </c>
      <c r="I2" s="424" t="s">
        <v>429</v>
      </c>
      <c r="J2" s="382" t="s">
        <v>430</v>
      </c>
      <c r="K2" s="382" t="s">
        <v>431</v>
      </c>
      <c r="L2" s="382" t="s">
        <v>432</v>
      </c>
      <c r="M2" s="429" t="s">
        <v>433</v>
      </c>
      <c r="N2" s="382" t="s">
        <v>434</v>
      </c>
      <c r="O2" s="382" t="s">
        <v>435</v>
      </c>
      <c r="P2" s="382" t="s">
        <v>436</v>
      </c>
      <c r="Q2" s="382" t="s">
        <v>404</v>
      </c>
    </row>
    <row r="3" spans="1:17" ht="16.05" customHeight="1">
      <c r="A3" s="369" t="s">
        <v>19</v>
      </c>
      <c r="B3" s="370"/>
      <c r="C3" s="370"/>
      <c r="D3" s="370"/>
      <c r="E3" s="425"/>
      <c r="F3" s="370"/>
      <c r="G3" s="370"/>
      <c r="H3" s="370"/>
      <c r="I3" s="425"/>
      <c r="J3" s="370"/>
      <c r="K3" s="370"/>
      <c r="L3" s="370"/>
      <c r="M3" s="430"/>
      <c r="N3" s="370"/>
      <c r="O3" s="370"/>
      <c r="P3" s="370"/>
      <c r="Q3" s="370"/>
    </row>
    <row r="4" spans="1:17" ht="16.05" customHeight="1">
      <c r="A4" s="365" t="s">
        <v>20</v>
      </c>
      <c r="B4" s="387">
        <v>66083</v>
      </c>
      <c r="C4" s="387">
        <v>66765</v>
      </c>
      <c r="D4" s="387">
        <v>48203</v>
      </c>
      <c r="E4" s="426">
        <v>76588</v>
      </c>
      <c r="F4" s="387">
        <v>177271</v>
      </c>
      <c r="G4" s="387">
        <v>209595</v>
      </c>
      <c r="H4" s="387">
        <v>223453</v>
      </c>
      <c r="I4" s="426">
        <v>179756</v>
      </c>
      <c r="J4" s="387">
        <v>185897</v>
      </c>
      <c r="K4" s="387">
        <v>133294</v>
      </c>
      <c r="L4" s="387">
        <v>80069</v>
      </c>
      <c r="M4" s="426">
        <v>141543</v>
      </c>
      <c r="N4" s="415">
        <v>103003</v>
      </c>
      <c r="O4" s="415">
        <v>112459</v>
      </c>
      <c r="P4" s="415">
        <v>142426</v>
      </c>
      <c r="Q4" s="415">
        <f t="shared" ref="Q4:Q10" si="0">P4*(1+1.15%)</f>
        <v>144063.899</v>
      </c>
    </row>
    <row r="5" spans="1:17" ht="16.05" customHeight="1">
      <c r="A5" s="365" t="s">
        <v>21</v>
      </c>
      <c r="B5" s="387">
        <v>14152</v>
      </c>
      <c r="C5" s="387">
        <v>22889</v>
      </c>
      <c r="D5" s="387">
        <v>18739</v>
      </c>
      <c r="E5" s="426">
        <v>16682</v>
      </c>
      <c r="F5" s="387">
        <v>18416</v>
      </c>
      <c r="G5" s="387">
        <v>21607</v>
      </c>
      <c r="H5" s="387">
        <v>22708</v>
      </c>
      <c r="I5" s="426">
        <v>19703</v>
      </c>
      <c r="J5" s="387">
        <v>24611</v>
      </c>
      <c r="K5" s="387">
        <v>24882</v>
      </c>
      <c r="L5" s="387">
        <v>24579</v>
      </c>
      <c r="M5" s="426">
        <v>18153</v>
      </c>
      <c r="N5" s="415">
        <v>31853</v>
      </c>
      <c r="O5" s="415">
        <v>33334</v>
      </c>
      <c r="P5" s="415">
        <v>33018</v>
      </c>
      <c r="Q5" s="415">
        <f t="shared" si="0"/>
        <v>33397.707000000002</v>
      </c>
    </row>
    <row r="6" spans="1:17" ht="16.05" customHeight="1">
      <c r="A6" s="365" t="s">
        <v>22</v>
      </c>
      <c r="B6" s="387">
        <v>7050</v>
      </c>
      <c r="C6" s="387">
        <v>6828</v>
      </c>
      <c r="D6" s="387">
        <v>7239</v>
      </c>
      <c r="E6" s="426">
        <v>5288</v>
      </c>
      <c r="F6" s="387">
        <v>7256</v>
      </c>
      <c r="G6" s="387">
        <v>7057</v>
      </c>
      <c r="H6" s="387">
        <v>9955</v>
      </c>
      <c r="I6" s="426">
        <v>10632</v>
      </c>
      <c r="J6" s="387">
        <v>8630</v>
      </c>
      <c r="K6" s="387">
        <v>14703</v>
      </c>
      <c r="L6" s="387">
        <v>11329</v>
      </c>
      <c r="M6" s="426">
        <v>13858</v>
      </c>
      <c r="N6" s="415">
        <v>12596</v>
      </c>
      <c r="O6" s="415">
        <v>41997</v>
      </c>
      <c r="P6" s="415">
        <v>40263</v>
      </c>
      <c r="Q6" s="415">
        <f t="shared" si="0"/>
        <v>40726.0245</v>
      </c>
    </row>
    <row r="7" spans="1:17" ht="16.05" customHeight="1">
      <c r="A7" s="365" t="s">
        <v>23</v>
      </c>
      <c r="B7" s="387">
        <v>1327509</v>
      </c>
      <c r="C7" s="387">
        <v>1369200</v>
      </c>
      <c r="D7" s="387">
        <v>1453056</v>
      </c>
      <c r="E7" s="426">
        <v>1422680</v>
      </c>
      <c r="F7" s="387">
        <v>1373014</v>
      </c>
      <c r="G7" s="387">
        <v>1404398</v>
      </c>
      <c r="H7" s="387">
        <v>1462264</v>
      </c>
      <c r="I7" s="426">
        <v>1533223</v>
      </c>
      <c r="J7" s="387">
        <v>1655494</v>
      </c>
      <c r="K7" s="387">
        <v>1792056</v>
      </c>
      <c r="L7" s="387">
        <v>1918046</v>
      </c>
      <c r="M7" s="426">
        <v>1937732</v>
      </c>
      <c r="N7" s="415">
        <v>1986525</v>
      </c>
      <c r="O7" s="415">
        <v>1976911</v>
      </c>
      <c r="P7" s="415">
        <v>2100095</v>
      </c>
      <c r="Q7" s="415">
        <f t="shared" si="0"/>
        <v>2124246.0925000003</v>
      </c>
    </row>
    <row r="8" spans="1:17" ht="16.05" customHeight="1">
      <c r="A8" s="365" t="s">
        <v>437</v>
      </c>
      <c r="B8" s="387">
        <v>58127</v>
      </c>
      <c r="C8" s="387">
        <v>64077</v>
      </c>
      <c r="D8" s="387">
        <v>69250</v>
      </c>
      <c r="E8" s="426">
        <v>74224</v>
      </c>
      <c r="F8" s="387">
        <v>77059</v>
      </c>
      <c r="G8" s="387">
        <v>81800</v>
      </c>
      <c r="H8" s="387">
        <v>80210</v>
      </c>
      <c r="I8" s="426">
        <v>84654</v>
      </c>
      <c r="J8" s="387">
        <v>34701</v>
      </c>
      <c r="K8" s="387">
        <v>36557</v>
      </c>
      <c r="L8" s="387">
        <v>59356</v>
      </c>
      <c r="M8" s="426">
        <v>60582</v>
      </c>
      <c r="N8" s="415">
        <v>72303</v>
      </c>
      <c r="O8" s="415"/>
      <c r="P8" s="415"/>
      <c r="Q8" s="415">
        <f t="shared" si="0"/>
        <v>0</v>
      </c>
    </row>
    <row r="9" spans="1:17" ht="16.05" customHeight="1">
      <c r="A9" s="365" t="s">
        <v>24</v>
      </c>
      <c r="B9" s="387">
        <v>24744</v>
      </c>
      <c r="C9" s="387">
        <v>24702</v>
      </c>
      <c r="D9" s="387">
        <v>25203</v>
      </c>
      <c r="E9" s="426">
        <v>23910</v>
      </c>
      <c r="F9" s="387">
        <v>19530</v>
      </c>
      <c r="G9" s="387">
        <v>16136</v>
      </c>
      <c r="H9" s="387">
        <v>18212</v>
      </c>
      <c r="I9" s="426">
        <v>16619</v>
      </c>
      <c r="J9" s="387">
        <v>16464</v>
      </c>
      <c r="K9" s="387">
        <v>14529</v>
      </c>
      <c r="L9" s="387">
        <v>13869</v>
      </c>
      <c r="M9" s="426">
        <v>13629</v>
      </c>
      <c r="N9" s="415">
        <v>17045</v>
      </c>
      <c r="O9" s="415">
        <v>15407</v>
      </c>
      <c r="P9" s="415">
        <v>13736</v>
      </c>
      <c r="Q9" s="415">
        <f t="shared" si="0"/>
        <v>13893.964000000002</v>
      </c>
    </row>
    <row r="10" spans="1:17" ht="16.05" customHeight="1">
      <c r="A10" s="376" t="s">
        <v>25</v>
      </c>
      <c r="B10" s="396">
        <f t="shared" ref="B10:P10" si="1">SUM(B4:B9)</f>
        <v>1497665</v>
      </c>
      <c r="C10" s="396">
        <f t="shared" si="1"/>
        <v>1554461</v>
      </c>
      <c r="D10" s="396">
        <f t="shared" si="1"/>
        <v>1621690</v>
      </c>
      <c r="E10" s="427">
        <f t="shared" si="1"/>
        <v>1619372</v>
      </c>
      <c r="F10" s="396">
        <f t="shared" si="1"/>
        <v>1672546</v>
      </c>
      <c r="G10" s="396">
        <f t="shared" si="1"/>
        <v>1740593</v>
      </c>
      <c r="H10" s="396">
        <f t="shared" si="1"/>
        <v>1816802</v>
      </c>
      <c r="I10" s="427">
        <f t="shared" si="1"/>
        <v>1844587</v>
      </c>
      <c r="J10" s="396">
        <f t="shared" si="1"/>
        <v>1925797</v>
      </c>
      <c r="K10" s="396">
        <f t="shared" si="1"/>
        <v>2016021</v>
      </c>
      <c r="L10" s="396">
        <f t="shared" si="1"/>
        <v>2107248</v>
      </c>
      <c r="M10" s="427">
        <f t="shared" si="1"/>
        <v>2185497</v>
      </c>
      <c r="N10" s="416">
        <f t="shared" si="1"/>
        <v>2223325</v>
      </c>
      <c r="O10" s="416">
        <f t="shared" si="1"/>
        <v>2180108</v>
      </c>
      <c r="P10" s="416">
        <f t="shared" si="1"/>
        <v>2329538</v>
      </c>
      <c r="Q10" s="416">
        <f t="shared" si="0"/>
        <v>2356327.6870000004</v>
      </c>
    </row>
    <row r="11" spans="1:17" ht="16.05" customHeight="1">
      <c r="A11" s="365" t="s">
        <v>26</v>
      </c>
      <c r="B11" s="387"/>
      <c r="C11" s="387"/>
      <c r="D11" s="387"/>
      <c r="E11" s="426"/>
      <c r="F11" s="387"/>
      <c r="G11" s="387"/>
      <c r="H11" s="387"/>
      <c r="I11" s="426"/>
      <c r="J11" s="387"/>
      <c r="K11" s="387"/>
      <c r="L11" s="387"/>
      <c r="M11" s="426"/>
      <c r="N11" s="415"/>
      <c r="O11" s="415">
        <v>82342</v>
      </c>
      <c r="P11" s="415">
        <v>85386</v>
      </c>
      <c r="Q11" s="415"/>
    </row>
    <row r="12" spans="1:17" ht="16.05" customHeight="1">
      <c r="A12" s="365" t="s">
        <v>27</v>
      </c>
      <c r="B12" s="387">
        <v>4215</v>
      </c>
      <c r="C12" s="387">
        <v>4213</v>
      </c>
      <c r="D12" s="387">
        <v>3800</v>
      </c>
      <c r="E12" s="426">
        <v>3458</v>
      </c>
      <c r="F12" s="387">
        <v>3076</v>
      </c>
      <c r="G12" s="387">
        <v>2689</v>
      </c>
      <c r="H12" s="387">
        <v>7877</v>
      </c>
      <c r="I12" s="426">
        <v>7255</v>
      </c>
      <c r="J12" s="387">
        <v>6997</v>
      </c>
      <c r="K12" s="387">
        <v>7825</v>
      </c>
      <c r="L12" s="387">
        <v>7535</v>
      </c>
      <c r="M12" s="426">
        <v>7242</v>
      </c>
      <c r="N12" s="415">
        <v>6944</v>
      </c>
      <c r="O12" s="415">
        <v>6826</v>
      </c>
      <c r="P12" s="415">
        <v>7837</v>
      </c>
      <c r="Q12" s="415">
        <f t="shared" ref="Q12:Q18" si="2">P12*(1+1.15%)</f>
        <v>7927.1255000000001</v>
      </c>
    </row>
    <row r="13" spans="1:17" ht="16.05" customHeight="1">
      <c r="A13" s="365" t="s">
        <v>28</v>
      </c>
      <c r="B13" s="387">
        <v>2617</v>
      </c>
      <c r="C13" s="387">
        <v>2761</v>
      </c>
      <c r="D13" s="387">
        <v>2894</v>
      </c>
      <c r="E13" s="426">
        <v>2919</v>
      </c>
      <c r="F13" s="387">
        <v>3913</v>
      </c>
      <c r="G13" s="387">
        <v>4375</v>
      </c>
      <c r="H13" s="387">
        <v>5402</v>
      </c>
      <c r="I13" s="426">
        <v>7054</v>
      </c>
      <c r="J13" s="387">
        <v>6826</v>
      </c>
      <c r="K13" s="387">
        <v>6975</v>
      </c>
      <c r="L13" s="387">
        <v>6901</v>
      </c>
      <c r="M13" s="426">
        <v>6551</v>
      </c>
      <c r="N13" s="415">
        <v>5888</v>
      </c>
      <c r="O13" s="415">
        <v>5515</v>
      </c>
      <c r="P13" s="415">
        <v>5872</v>
      </c>
      <c r="Q13" s="415">
        <f t="shared" si="2"/>
        <v>5939.5280000000002</v>
      </c>
    </row>
    <row r="14" spans="1:17" ht="16.05" customHeight="1">
      <c r="A14" s="365" t="s">
        <v>29</v>
      </c>
      <c r="B14" s="387">
        <v>15741</v>
      </c>
      <c r="C14" s="387">
        <v>15741</v>
      </c>
      <c r="D14" s="387">
        <v>15741</v>
      </c>
      <c r="E14" s="426">
        <v>16448</v>
      </c>
      <c r="F14" s="387">
        <v>16448</v>
      </c>
      <c r="G14" s="387">
        <v>16448</v>
      </c>
      <c r="H14" s="387">
        <v>16448</v>
      </c>
      <c r="I14" s="426">
        <v>15306</v>
      </c>
      <c r="J14" s="387">
        <v>15306</v>
      </c>
      <c r="K14" s="387">
        <v>15306</v>
      </c>
      <c r="L14" s="387">
        <v>15307</v>
      </c>
      <c r="M14" s="426">
        <v>13984</v>
      </c>
      <c r="N14" s="415">
        <v>13984</v>
      </c>
      <c r="O14" s="415">
        <v>13984</v>
      </c>
      <c r="P14" s="415">
        <v>13984</v>
      </c>
      <c r="Q14" s="415">
        <f t="shared" si="2"/>
        <v>14144.816000000001</v>
      </c>
    </row>
    <row r="15" spans="1:17" ht="16.05" customHeight="1">
      <c r="A15" s="365" t="s">
        <v>30</v>
      </c>
      <c r="B15" s="387">
        <v>516</v>
      </c>
      <c r="C15" s="387">
        <v>494</v>
      </c>
      <c r="D15" s="387">
        <v>473</v>
      </c>
      <c r="E15" s="426">
        <v>452</v>
      </c>
      <c r="F15" s="387">
        <v>429</v>
      </c>
      <c r="G15" s="387">
        <v>409</v>
      </c>
      <c r="H15" s="387">
        <v>388</v>
      </c>
      <c r="I15" s="426">
        <v>367</v>
      </c>
      <c r="J15" s="387">
        <v>345</v>
      </c>
      <c r="K15" s="387">
        <v>324</v>
      </c>
      <c r="L15" s="387">
        <v>303</v>
      </c>
      <c r="M15" s="426">
        <v>282</v>
      </c>
      <c r="N15" s="415">
        <v>261</v>
      </c>
      <c r="O15" s="415">
        <v>239</v>
      </c>
      <c r="P15" s="415">
        <v>218</v>
      </c>
      <c r="Q15" s="415">
        <f t="shared" si="2"/>
        <v>220.50700000000001</v>
      </c>
    </row>
    <row r="16" spans="1:17" ht="16.05" customHeight="1">
      <c r="A16" s="365" t="s">
        <v>31</v>
      </c>
      <c r="B16" s="387">
        <v>680</v>
      </c>
      <c r="C16" s="387">
        <v>680</v>
      </c>
      <c r="D16" s="387">
        <v>680</v>
      </c>
      <c r="E16" s="426">
        <v>680</v>
      </c>
      <c r="F16" s="387">
        <v>680</v>
      </c>
      <c r="G16" s="387">
        <v>680</v>
      </c>
      <c r="H16" s="387">
        <v>680</v>
      </c>
      <c r="I16" s="426">
        <v>680</v>
      </c>
      <c r="J16" s="387">
        <v>680</v>
      </c>
      <c r="K16" s="387">
        <v>680</v>
      </c>
      <c r="L16" s="387">
        <v>680</v>
      </c>
      <c r="M16" s="426">
        <v>680</v>
      </c>
      <c r="N16" s="415">
        <v>680</v>
      </c>
      <c r="O16" s="415">
        <v>680</v>
      </c>
      <c r="P16" s="415">
        <v>680</v>
      </c>
      <c r="Q16" s="415">
        <f t="shared" si="2"/>
        <v>687.82</v>
      </c>
    </row>
    <row r="17" spans="1:17" ht="16.05" customHeight="1">
      <c r="A17" s="365" t="s">
        <v>32</v>
      </c>
      <c r="B17" s="387">
        <v>7223</v>
      </c>
      <c r="C17" s="387">
        <v>9924</v>
      </c>
      <c r="D17" s="387">
        <v>12457</v>
      </c>
      <c r="E17" s="426">
        <v>12346</v>
      </c>
      <c r="F17" s="387">
        <v>9364</v>
      </c>
      <c r="G17" s="387">
        <v>11379</v>
      </c>
      <c r="H17" s="387">
        <v>19049</v>
      </c>
      <c r="I17" s="426">
        <v>27583</v>
      </c>
      <c r="J17" s="387">
        <v>20623</v>
      </c>
      <c r="K17" s="387">
        <v>17271</v>
      </c>
      <c r="L17" s="387">
        <v>34096</v>
      </c>
      <c r="M17" s="426">
        <v>35758</v>
      </c>
      <c r="N17" s="415">
        <v>22185</v>
      </c>
      <c r="O17" s="415">
        <v>25575</v>
      </c>
      <c r="P17" s="415">
        <v>37860</v>
      </c>
      <c r="Q17" s="415">
        <f t="shared" si="2"/>
        <v>38295.39</v>
      </c>
    </row>
    <row r="18" spans="1:17" ht="16.05" customHeight="1" thickBot="1">
      <c r="A18" s="383" t="s">
        <v>33</v>
      </c>
      <c r="B18" s="406">
        <f>SUM(B10:B17)</f>
        <v>1528657</v>
      </c>
      <c r="C18" s="406">
        <f>SUM(C10:C17)</f>
        <v>1588274</v>
      </c>
      <c r="D18" s="406">
        <f>SUM(D10:D17)</f>
        <v>1657735</v>
      </c>
      <c r="E18" s="431">
        <v>1655675</v>
      </c>
      <c r="F18" s="406">
        <v>1706456</v>
      </c>
      <c r="G18" s="406">
        <v>1776573</v>
      </c>
      <c r="H18" s="406">
        <f>SUM(H10:H17)</f>
        <v>1866646</v>
      </c>
      <c r="I18" s="431">
        <f>SUM(I10:I17)</f>
        <v>1902832</v>
      </c>
      <c r="J18" s="406">
        <f>SUM(J10:J17)</f>
        <v>1976574</v>
      </c>
      <c r="K18" s="406">
        <f>SUM(K10:K17)</f>
        <v>2064402</v>
      </c>
      <c r="L18" s="406">
        <f>SUM(L10,L12:L17)</f>
        <v>2172070</v>
      </c>
      <c r="M18" s="431">
        <v>2249994</v>
      </c>
      <c r="N18" s="432">
        <f>SUM(N10:N17)</f>
        <v>2273267</v>
      </c>
      <c r="O18" s="432">
        <v>2315269</v>
      </c>
      <c r="P18" s="432">
        <v>2481375</v>
      </c>
      <c r="Q18" s="432">
        <f t="shared" si="2"/>
        <v>2509910.8125</v>
      </c>
    </row>
    <row r="19" spans="1:17" ht="16.05" customHeight="1" thickTop="1">
      <c r="A19" s="413" t="s">
        <v>393</v>
      </c>
      <c r="B19" s="414"/>
      <c r="C19" s="414"/>
      <c r="D19" s="414"/>
      <c r="E19" s="428"/>
      <c r="F19" s="414"/>
      <c r="G19" s="414"/>
      <c r="H19" s="414"/>
      <c r="I19" s="428"/>
      <c r="J19" s="414"/>
      <c r="K19" s="414"/>
      <c r="L19" s="414"/>
      <c r="M19" s="428"/>
      <c r="N19" s="414"/>
      <c r="O19" s="414"/>
      <c r="P19" s="414"/>
      <c r="Q19" s="414"/>
    </row>
    <row r="20" spans="1:17" ht="16.05" customHeight="1">
      <c r="A20" s="365" t="s">
        <v>35</v>
      </c>
      <c r="B20" s="387">
        <v>56899</v>
      </c>
      <c r="C20" s="387">
        <v>60229</v>
      </c>
      <c r="D20" s="387">
        <v>60984</v>
      </c>
      <c r="E20" s="426">
        <v>51804</v>
      </c>
      <c r="F20" s="387">
        <v>52862</v>
      </c>
      <c r="G20" s="387">
        <v>57464</v>
      </c>
      <c r="H20" s="387">
        <v>56565</v>
      </c>
      <c r="I20" s="426">
        <v>54321</v>
      </c>
      <c r="J20" s="387">
        <v>53330</v>
      </c>
      <c r="K20" s="387">
        <v>67978</v>
      </c>
      <c r="L20" s="387">
        <v>67346</v>
      </c>
      <c r="M20" s="426">
        <v>59746</v>
      </c>
      <c r="N20" s="415">
        <v>77744</v>
      </c>
      <c r="O20" s="415">
        <v>78830</v>
      </c>
      <c r="P20" s="415">
        <v>91270</v>
      </c>
      <c r="Q20" s="415">
        <f t="shared" ref="Q20:Q25" si="3">P20*(1+1.15%)</f>
        <v>92319.60500000001</v>
      </c>
    </row>
    <row r="21" spans="1:17" ht="16.05" customHeight="1">
      <c r="A21" s="365" t="s">
        <v>36</v>
      </c>
      <c r="B21" s="387">
        <v>89558</v>
      </c>
      <c r="C21" s="387">
        <v>95615</v>
      </c>
      <c r="D21" s="387">
        <v>99425</v>
      </c>
      <c r="E21" s="426">
        <v>91281</v>
      </c>
      <c r="F21" s="387">
        <v>108492</v>
      </c>
      <c r="G21" s="387">
        <v>101464</v>
      </c>
      <c r="H21" s="387">
        <v>110909</v>
      </c>
      <c r="I21" s="426">
        <v>96457</v>
      </c>
      <c r="J21" s="387">
        <v>114218</v>
      </c>
      <c r="K21" s="387">
        <v>126144</v>
      </c>
      <c r="L21" s="387">
        <v>165900</v>
      </c>
      <c r="M21" s="426">
        <v>110068</v>
      </c>
      <c r="N21" s="415">
        <v>103490</v>
      </c>
      <c r="O21" s="415">
        <v>102632</v>
      </c>
      <c r="P21" s="415">
        <v>127523</v>
      </c>
      <c r="Q21" s="415">
        <f t="shared" si="3"/>
        <v>128989.5145</v>
      </c>
    </row>
    <row r="22" spans="1:17" ht="16.05" customHeight="1">
      <c r="A22" s="365" t="s">
        <v>37</v>
      </c>
      <c r="B22" s="387">
        <v>63618</v>
      </c>
      <c r="C22" s="387">
        <v>57624</v>
      </c>
      <c r="D22" s="387">
        <v>43622</v>
      </c>
      <c r="E22" s="426">
        <v>29112</v>
      </c>
      <c r="F22" s="387">
        <v>36948</v>
      </c>
      <c r="G22" s="387">
        <v>43252</v>
      </c>
      <c r="H22" s="387">
        <v>47239</v>
      </c>
      <c r="I22" s="426">
        <v>43148</v>
      </c>
      <c r="J22" s="387">
        <v>54120</v>
      </c>
      <c r="K22" s="387">
        <v>49316</v>
      </c>
      <c r="L22" s="387">
        <v>45065</v>
      </c>
      <c r="M22" s="426">
        <v>37068</v>
      </c>
      <c r="N22" s="415">
        <v>38517</v>
      </c>
      <c r="O22" s="415">
        <v>39635</v>
      </c>
      <c r="P22" s="415">
        <v>35179</v>
      </c>
      <c r="Q22" s="415">
        <f t="shared" si="3"/>
        <v>35583.558499999999</v>
      </c>
    </row>
    <row r="23" spans="1:17" ht="16.05" customHeight="1">
      <c r="A23" s="365" t="s">
        <v>38</v>
      </c>
      <c r="B23" s="387">
        <v>4415</v>
      </c>
      <c r="C23" s="387">
        <v>4362</v>
      </c>
      <c r="D23" s="387">
        <v>3972</v>
      </c>
      <c r="E23" s="426">
        <v>3582</v>
      </c>
      <c r="F23" s="387">
        <v>3187</v>
      </c>
      <c r="G23" s="387">
        <v>2780</v>
      </c>
      <c r="H23" s="387">
        <v>7923</v>
      </c>
      <c r="I23" s="426">
        <v>7898</v>
      </c>
      <c r="J23" s="387">
        <v>7873</v>
      </c>
      <c r="K23" s="387">
        <v>8756</v>
      </c>
      <c r="L23" s="387">
        <v>8600</v>
      </c>
      <c r="M23" s="426">
        <v>8343</v>
      </c>
      <c r="N23" s="415">
        <v>8029</v>
      </c>
      <c r="O23" s="415">
        <v>7935</v>
      </c>
      <c r="P23" s="415">
        <v>8966</v>
      </c>
      <c r="Q23" s="415">
        <f t="shared" si="3"/>
        <v>9069.1090000000004</v>
      </c>
    </row>
    <row r="24" spans="1:17" ht="16.05" customHeight="1">
      <c r="A24" s="365" t="s">
        <v>39</v>
      </c>
      <c r="B24" s="387">
        <v>19421</v>
      </c>
      <c r="C24" s="387">
        <v>34662</v>
      </c>
      <c r="D24" s="387">
        <v>42902</v>
      </c>
      <c r="E24" s="426">
        <v>17395</v>
      </c>
      <c r="F24" s="387">
        <v>-2453</v>
      </c>
      <c r="G24" s="387">
        <v>-2214</v>
      </c>
      <c r="H24" s="387">
        <v>-1983</v>
      </c>
      <c r="I24" s="426">
        <v>-2328</v>
      </c>
      <c r="J24" s="387">
        <v>-2260</v>
      </c>
      <c r="K24" s="387">
        <v>-1921</v>
      </c>
      <c r="L24" s="387">
        <v>-1718</v>
      </c>
      <c r="M24" s="426">
        <v>22645</v>
      </c>
      <c r="N24" s="415">
        <v>-1577</v>
      </c>
      <c r="O24" s="415">
        <v>2183</v>
      </c>
      <c r="P24" s="415">
        <v>62753</v>
      </c>
      <c r="Q24" s="415">
        <f t="shared" si="3"/>
        <v>63474.659500000002</v>
      </c>
    </row>
    <row r="25" spans="1:17" ht="16.05" customHeight="1">
      <c r="A25" s="365" t="s">
        <v>40</v>
      </c>
      <c r="B25" s="387">
        <v>335538</v>
      </c>
      <c r="C25" s="387">
        <v>335633</v>
      </c>
      <c r="D25" s="387">
        <v>335729</v>
      </c>
      <c r="E25" s="426">
        <v>335825</v>
      </c>
      <c r="F25" s="387">
        <v>335920</v>
      </c>
      <c r="G25" s="387">
        <v>336016</v>
      </c>
      <c r="H25" s="387">
        <v>336112</v>
      </c>
      <c r="I25" s="426">
        <v>336207</v>
      </c>
      <c r="J25" s="387">
        <v>311303</v>
      </c>
      <c r="K25" s="387">
        <v>311398</v>
      </c>
      <c r="L25" s="387">
        <v>298994</v>
      </c>
      <c r="M25" s="426">
        <v>299090</v>
      </c>
      <c r="N25" s="415">
        <v>274185</v>
      </c>
      <c r="O25" s="415">
        <v>274281</v>
      </c>
      <c r="P25" s="415">
        <v>261877</v>
      </c>
      <c r="Q25" s="415">
        <f t="shared" si="3"/>
        <v>264888.58550000004</v>
      </c>
    </row>
    <row r="26" spans="1:17" ht="16.05" customHeight="1">
      <c r="A26" s="365" t="s">
        <v>41</v>
      </c>
      <c r="B26" s="387">
        <v>14668</v>
      </c>
      <c r="C26" s="387">
        <v>14653</v>
      </c>
      <c r="D26" s="387">
        <v>14638</v>
      </c>
      <c r="E26" s="426">
        <v>14622</v>
      </c>
      <c r="F26" s="387">
        <v>14607</v>
      </c>
      <c r="G26" s="387">
        <v>14591</v>
      </c>
      <c r="H26" s="387">
        <v>12998</v>
      </c>
      <c r="I26" s="426">
        <v>12981</v>
      </c>
      <c r="J26" s="387">
        <v>113</v>
      </c>
      <c r="K26" s="387">
        <v>95</v>
      </c>
      <c r="L26" s="387"/>
      <c r="M26" s="426">
        <v>14871</v>
      </c>
      <c r="N26" s="415">
        <v>14871</v>
      </c>
      <c r="O26" s="415">
        <v>14871</v>
      </c>
      <c r="P26" s="415">
        <v>14871</v>
      </c>
      <c r="Q26" s="415">
        <v>14871</v>
      </c>
    </row>
    <row r="27" spans="1:17" ht="16.05" customHeight="1">
      <c r="A27" s="376" t="s">
        <v>401</v>
      </c>
      <c r="B27" s="396">
        <f t="shared" ref="B27:N27" si="4">SUM(B20:B26)</f>
        <v>584117</v>
      </c>
      <c r="C27" s="396">
        <f t="shared" si="4"/>
        <v>602778</v>
      </c>
      <c r="D27" s="396">
        <f t="shared" si="4"/>
        <v>601272</v>
      </c>
      <c r="E27" s="427">
        <f t="shared" si="4"/>
        <v>543621</v>
      </c>
      <c r="F27" s="396">
        <f t="shared" si="4"/>
        <v>549563</v>
      </c>
      <c r="G27" s="396">
        <f t="shared" si="4"/>
        <v>553353</v>
      </c>
      <c r="H27" s="396">
        <f t="shared" si="4"/>
        <v>569763</v>
      </c>
      <c r="I27" s="427">
        <f t="shared" si="4"/>
        <v>548684</v>
      </c>
      <c r="J27" s="396">
        <f t="shared" si="4"/>
        <v>538697</v>
      </c>
      <c r="K27" s="396">
        <f t="shared" si="4"/>
        <v>561766</v>
      </c>
      <c r="L27" s="396">
        <f t="shared" si="4"/>
        <v>584187</v>
      </c>
      <c r="M27" s="427">
        <f t="shared" si="4"/>
        <v>551831</v>
      </c>
      <c r="N27" s="416">
        <f t="shared" si="4"/>
        <v>515259</v>
      </c>
      <c r="O27" s="416">
        <v>520367</v>
      </c>
      <c r="P27" s="416">
        <f>SUM(P20:P26)</f>
        <v>602439</v>
      </c>
      <c r="Q27" s="416">
        <f>P27*(1+1.15%)</f>
        <v>609367.04850000003</v>
      </c>
    </row>
    <row r="28" spans="1:17" ht="16.05" customHeight="1">
      <c r="A28" s="365" t="s">
        <v>45</v>
      </c>
      <c r="B28" s="387">
        <v>22179</v>
      </c>
      <c r="C28" s="387">
        <v>22001</v>
      </c>
      <c r="D28" s="387">
        <v>25660</v>
      </c>
      <c r="E28" s="426">
        <v>29239</v>
      </c>
      <c r="F28" s="387">
        <v>30291</v>
      </c>
      <c r="G28" s="387">
        <v>32995</v>
      </c>
      <c r="H28" s="387">
        <v>35236</v>
      </c>
      <c r="I28" s="426">
        <v>36135</v>
      </c>
      <c r="J28" s="387">
        <v>38186</v>
      </c>
      <c r="K28" s="387">
        <v>38883</v>
      </c>
      <c r="L28" s="387">
        <v>42841</v>
      </c>
      <c r="M28" s="426">
        <v>44709</v>
      </c>
      <c r="N28" s="415">
        <v>44560</v>
      </c>
      <c r="O28" s="415">
        <v>45967</v>
      </c>
      <c r="P28" s="415">
        <v>47302</v>
      </c>
      <c r="Q28" s="415">
        <f>P28*(1+1.15%)</f>
        <v>47845.973000000005</v>
      </c>
    </row>
    <row r="29" spans="1:17" ht="16.05" customHeight="1" thickBot="1">
      <c r="A29" s="383" t="s">
        <v>44</v>
      </c>
      <c r="B29" s="406">
        <f>B27+B28</f>
        <v>606296</v>
      </c>
      <c r="C29" s="406">
        <f>C27+C28</f>
        <v>624779</v>
      </c>
      <c r="D29" s="406">
        <f>D27+D28</f>
        <v>626932</v>
      </c>
      <c r="E29" s="431">
        <f>SUM(E27,E28)</f>
        <v>572860</v>
      </c>
      <c r="F29" s="406">
        <f>SUM(F27,F28)</f>
        <v>579854</v>
      </c>
      <c r="G29" s="406">
        <f>SUM(G27,G28)</f>
        <v>586348</v>
      </c>
      <c r="H29" s="406">
        <f>H27+H28</f>
        <v>604999</v>
      </c>
      <c r="I29" s="431">
        <f>I27+I28</f>
        <v>584819</v>
      </c>
      <c r="J29" s="406">
        <f>J27+J28</f>
        <v>576883</v>
      </c>
      <c r="K29" s="406">
        <f>K27+K28</f>
        <v>600649</v>
      </c>
      <c r="L29" s="406">
        <f>SUM(L27,L28)</f>
        <v>627028</v>
      </c>
      <c r="M29" s="431">
        <f>M27+M28</f>
        <v>596540</v>
      </c>
      <c r="N29" s="432">
        <f>N27+N28</f>
        <v>559819</v>
      </c>
      <c r="O29" s="432">
        <f>O27+O28</f>
        <v>566334</v>
      </c>
      <c r="P29" s="432">
        <f>P27+P28</f>
        <v>649741</v>
      </c>
      <c r="Q29" s="432">
        <f>P29*(1+1.15%)</f>
        <v>657213.02150000003</v>
      </c>
    </row>
    <row r="30" spans="1:17" ht="16.05" customHeight="1" thickTop="1">
      <c r="A30" s="413" t="s">
        <v>46</v>
      </c>
      <c r="B30" s="414"/>
      <c r="C30" s="414"/>
      <c r="D30" s="414"/>
      <c r="E30" s="428"/>
      <c r="F30" s="414"/>
      <c r="G30" s="414"/>
      <c r="H30" s="414"/>
      <c r="I30" s="428"/>
      <c r="J30" s="414"/>
      <c r="K30" s="414"/>
      <c r="L30" s="414"/>
      <c r="M30" s="428"/>
      <c r="N30" s="414"/>
      <c r="O30" s="414"/>
      <c r="P30" s="414"/>
      <c r="Q30" s="414"/>
    </row>
    <row r="31" spans="1:17" ht="16.05" customHeight="1">
      <c r="A31" s="365" t="s">
        <v>55</v>
      </c>
      <c r="B31" s="387">
        <v>47696</v>
      </c>
      <c r="C31" s="387">
        <v>47696</v>
      </c>
      <c r="D31" s="387">
        <v>47696</v>
      </c>
      <c r="E31" s="426">
        <v>47696</v>
      </c>
      <c r="F31" s="387">
        <v>47696</v>
      </c>
      <c r="G31" s="387">
        <v>47696</v>
      </c>
      <c r="H31" s="387">
        <v>47603</v>
      </c>
      <c r="I31" s="426">
        <v>47603</v>
      </c>
      <c r="J31" s="387">
        <v>47603</v>
      </c>
      <c r="K31" s="387">
        <v>47603</v>
      </c>
      <c r="L31" s="387">
        <v>47603</v>
      </c>
      <c r="M31" s="426">
        <v>47603</v>
      </c>
      <c r="N31" s="415">
        <v>47603</v>
      </c>
      <c r="O31" s="415">
        <v>47603</v>
      </c>
      <c r="P31" s="415">
        <v>47603</v>
      </c>
      <c r="Q31" s="415">
        <f t="shared" ref="Q31:Q39" si="5">P31*(1+1.15%)</f>
        <v>48150.434500000003</v>
      </c>
    </row>
    <row r="32" spans="1:17" ht="16.05" customHeight="1">
      <c r="A32" s="365" t="s">
        <v>47</v>
      </c>
      <c r="B32" s="387">
        <v>512</v>
      </c>
      <c r="C32" s="387">
        <v>513</v>
      </c>
      <c r="D32" s="387">
        <v>460</v>
      </c>
      <c r="E32" s="426">
        <v>460</v>
      </c>
      <c r="F32" s="387">
        <v>462</v>
      </c>
      <c r="G32" s="387">
        <v>454</v>
      </c>
      <c r="H32" s="387">
        <v>454</v>
      </c>
      <c r="I32" s="426">
        <v>450</v>
      </c>
      <c r="J32" s="387">
        <v>451</v>
      </c>
      <c r="K32" s="387">
        <v>449</v>
      </c>
      <c r="L32" s="387">
        <v>445</v>
      </c>
      <c r="M32" s="426"/>
      <c r="N32" s="415">
        <v>446</v>
      </c>
      <c r="O32" s="415"/>
      <c r="P32" s="415"/>
      <c r="Q32" s="415">
        <f t="shared" si="5"/>
        <v>0</v>
      </c>
    </row>
    <row r="33" spans="1:17" ht="16.05" customHeight="1">
      <c r="A33" s="365" t="s">
        <v>56</v>
      </c>
      <c r="B33" s="387">
        <v>-28968</v>
      </c>
      <c r="C33" s="387">
        <v>-95479</v>
      </c>
      <c r="D33" s="387"/>
      <c r="E33" s="426"/>
      <c r="F33" s="387">
        <v>-15351</v>
      </c>
      <c r="G33" s="387"/>
      <c r="H33" s="387"/>
      <c r="I33" s="426"/>
      <c r="J33" s="387">
        <v>-3758</v>
      </c>
      <c r="K33" s="387">
        <v>-17192</v>
      </c>
      <c r="L33" s="387"/>
      <c r="M33" s="426">
        <v>0</v>
      </c>
      <c r="N33" s="415">
        <v>-16919</v>
      </c>
      <c r="O33" s="415"/>
      <c r="P33" s="415">
        <v>0</v>
      </c>
      <c r="Q33" s="415">
        <f t="shared" si="5"/>
        <v>0</v>
      </c>
    </row>
    <row r="34" spans="1:17" ht="16.05" customHeight="1">
      <c r="A34" s="365" t="s">
        <v>49</v>
      </c>
      <c r="B34" s="387">
        <v>292155</v>
      </c>
      <c r="C34" s="387">
        <v>293336</v>
      </c>
      <c r="D34" s="387">
        <v>261570</v>
      </c>
      <c r="E34" s="426">
        <v>259410</v>
      </c>
      <c r="F34" s="387">
        <v>263545</v>
      </c>
      <c r="G34" s="387">
        <v>256965</v>
      </c>
      <c r="H34" s="387">
        <v>256759</v>
      </c>
      <c r="I34" s="426">
        <v>255614</v>
      </c>
      <c r="J34" s="387">
        <v>259412</v>
      </c>
      <c r="K34" s="387">
        <v>246863</v>
      </c>
      <c r="L34" s="387">
        <v>243199</v>
      </c>
      <c r="M34" s="426">
        <v>244653</v>
      </c>
      <c r="N34" s="415">
        <v>252728</v>
      </c>
      <c r="O34" s="415">
        <v>244006</v>
      </c>
      <c r="P34" s="415">
        <v>245661</v>
      </c>
      <c r="Q34" s="415">
        <f t="shared" si="5"/>
        <v>248486.10150000002</v>
      </c>
    </row>
    <row r="35" spans="1:17" ht="16.05" customHeight="1">
      <c r="A35" s="365" t="s">
        <v>50</v>
      </c>
      <c r="B35" s="387">
        <v>600788</v>
      </c>
      <c r="C35" s="387">
        <v>701325</v>
      </c>
      <c r="D35" s="387">
        <v>699514</v>
      </c>
      <c r="E35" s="426">
        <v>754341</v>
      </c>
      <c r="F35" s="387">
        <v>817802</v>
      </c>
      <c r="G35" s="387">
        <v>868962</v>
      </c>
      <c r="H35" s="387">
        <v>940400</v>
      </c>
      <c r="I35" s="426">
        <v>997037</v>
      </c>
      <c r="J35" s="387">
        <v>1079619</v>
      </c>
      <c r="K35" s="387">
        <v>1161512</v>
      </c>
      <c r="L35" s="387">
        <v>1229490</v>
      </c>
      <c r="M35" s="426">
        <v>1332714</v>
      </c>
      <c r="N35" s="415">
        <v>1407054</v>
      </c>
      <c r="O35" s="415">
        <v>1433328</v>
      </c>
      <c r="P35" s="415">
        <v>1510462</v>
      </c>
      <c r="Q35" s="415">
        <f t="shared" si="5"/>
        <v>1527832.3130000001</v>
      </c>
    </row>
    <row r="36" spans="1:17" ht="16.05" customHeight="1">
      <c r="A36" s="376" t="s">
        <v>51</v>
      </c>
      <c r="B36" s="396">
        <f t="shared" ref="B36:L36" si="6">SUM(B31:B35)</f>
        <v>912183</v>
      </c>
      <c r="C36" s="396">
        <f t="shared" si="6"/>
        <v>947391</v>
      </c>
      <c r="D36" s="396">
        <f t="shared" si="6"/>
        <v>1009240</v>
      </c>
      <c r="E36" s="427">
        <f t="shared" si="6"/>
        <v>1061907</v>
      </c>
      <c r="F36" s="396">
        <f t="shared" si="6"/>
        <v>1114154</v>
      </c>
      <c r="G36" s="396">
        <f t="shared" si="6"/>
        <v>1174077</v>
      </c>
      <c r="H36" s="396">
        <f t="shared" si="6"/>
        <v>1245216</v>
      </c>
      <c r="I36" s="427">
        <f t="shared" si="6"/>
        <v>1300704</v>
      </c>
      <c r="J36" s="396">
        <f t="shared" si="6"/>
        <v>1383327</v>
      </c>
      <c r="K36" s="396">
        <f t="shared" si="6"/>
        <v>1439235</v>
      </c>
      <c r="L36" s="396">
        <f t="shared" si="6"/>
        <v>1520737</v>
      </c>
      <c r="M36" s="427">
        <v>1625415</v>
      </c>
      <c r="N36" s="416">
        <f>SUM(N31:N35)</f>
        <v>1690912</v>
      </c>
      <c r="O36" s="416">
        <v>1725373</v>
      </c>
      <c r="P36" s="416">
        <v>1804162</v>
      </c>
      <c r="Q36" s="416">
        <f t="shared" si="5"/>
        <v>1824909.8630000001</v>
      </c>
    </row>
    <row r="37" spans="1:17" ht="16.05" customHeight="1">
      <c r="A37" s="365" t="s">
        <v>52</v>
      </c>
      <c r="B37" s="387">
        <v>10178</v>
      </c>
      <c r="C37" s="387">
        <v>16104</v>
      </c>
      <c r="D37" s="387">
        <v>21563</v>
      </c>
      <c r="E37" s="426">
        <v>20908</v>
      </c>
      <c r="F37" s="387">
        <v>12448</v>
      </c>
      <c r="G37" s="387">
        <v>16148</v>
      </c>
      <c r="H37" s="387">
        <v>16431</v>
      </c>
      <c r="I37" s="426">
        <v>17309</v>
      </c>
      <c r="J37" s="387">
        <v>16364</v>
      </c>
      <c r="K37" s="387">
        <v>24518</v>
      </c>
      <c r="L37" s="387">
        <v>24305</v>
      </c>
      <c r="M37" s="426">
        <v>28039</v>
      </c>
      <c r="N37" s="415">
        <v>22536</v>
      </c>
      <c r="O37" s="415">
        <v>23562</v>
      </c>
      <c r="P37" s="415">
        <v>27472</v>
      </c>
      <c r="Q37" s="415">
        <f t="shared" si="5"/>
        <v>27787.928000000004</v>
      </c>
    </row>
    <row r="38" spans="1:17" ht="16.05" customHeight="1">
      <c r="A38" s="376" t="s">
        <v>53</v>
      </c>
      <c r="B38" s="396">
        <f>B36+B37</f>
        <v>922361</v>
      </c>
      <c r="C38" s="396">
        <f>C36+C37</f>
        <v>963495</v>
      </c>
      <c r="D38" s="396">
        <f>D36+D37</f>
        <v>1030803</v>
      </c>
      <c r="E38" s="427">
        <f>SUM(E36:E37)</f>
        <v>1082815</v>
      </c>
      <c r="F38" s="396">
        <f>SUM(F36:F37)</f>
        <v>1126602</v>
      </c>
      <c r="G38" s="396">
        <f>SUM(G36:G37)</f>
        <v>1190225</v>
      </c>
      <c r="H38" s="396">
        <f>H36+H37</f>
        <v>1261647</v>
      </c>
      <c r="I38" s="427">
        <f>I36+I37</f>
        <v>1318013</v>
      </c>
      <c r="J38" s="396">
        <f>J36+J37</f>
        <v>1399691</v>
      </c>
      <c r="K38" s="396">
        <f>SUM(K36,K37)</f>
        <v>1463753</v>
      </c>
      <c r="L38" s="396">
        <f>L36+L37</f>
        <v>1545042</v>
      </c>
      <c r="M38" s="427">
        <v>1653454</v>
      </c>
      <c r="N38" s="416">
        <v>1713448</v>
      </c>
      <c r="O38" s="416">
        <v>1748935</v>
      </c>
      <c r="P38" s="416">
        <v>1831634</v>
      </c>
      <c r="Q38" s="416">
        <f t="shared" si="5"/>
        <v>1852697.7910000002</v>
      </c>
    </row>
    <row r="39" spans="1:17" ht="16.05" customHeight="1" thickBot="1">
      <c r="A39" s="383" t="s">
        <v>54</v>
      </c>
      <c r="B39" s="406">
        <f>B29+B38</f>
        <v>1528657</v>
      </c>
      <c r="C39" s="406">
        <f>C29+C38</f>
        <v>1588274</v>
      </c>
      <c r="D39" s="406">
        <f>D29+D38</f>
        <v>1657735</v>
      </c>
      <c r="E39" s="431">
        <f>SUM(E29,E38)</f>
        <v>1655675</v>
      </c>
      <c r="F39" s="406">
        <f>SUM(F29,F38)</f>
        <v>1706456</v>
      </c>
      <c r="G39" s="406">
        <f>G29+G38</f>
        <v>1776573</v>
      </c>
      <c r="H39" s="406">
        <f>H29+H38</f>
        <v>1866646</v>
      </c>
      <c r="I39" s="431">
        <f>I29+I38</f>
        <v>1902832</v>
      </c>
      <c r="J39" s="406">
        <f>J38+J29</f>
        <v>1976574</v>
      </c>
      <c r="K39" s="406">
        <f>K29+K38</f>
        <v>2064402</v>
      </c>
      <c r="L39" s="406">
        <f>L29+L38</f>
        <v>2172070</v>
      </c>
      <c r="M39" s="431">
        <v>2249994</v>
      </c>
      <c r="N39" s="432">
        <f>N29+N38</f>
        <v>2273267</v>
      </c>
      <c r="O39" s="432">
        <v>2315269</v>
      </c>
      <c r="P39" s="432">
        <v>2481375</v>
      </c>
      <c r="Q39" s="432">
        <f t="shared" si="5"/>
        <v>2509910.8125</v>
      </c>
    </row>
    <row r="40" spans="1:17" ht="16.05" customHeight="1" thickTop="1"/>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7A96-7302-49C1-91B2-95FED5C6DBA0}">
  <sheetPr>
    <tabColor theme="9" tint="0.39997558519241921"/>
    <pageSetUpPr fitToPage="1"/>
  </sheetPr>
  <dimension ref="A1:BM65"/>
  <sheetViews>
    <sheetView showGridLines="0" topLeftCell="C1" workbookViewId="0">
      <selection activeCell="I15" sqref="I15"/>
    </sheetView>
  </sheetViews>
  <sheetFormatPr defaultColWidth="16.77734375" defaultRowHeight="16.05" customHeight="1"/>
  <cols>
    <col min="1" max="1" width="66.77734375" customWidth="1"/>
  </cols>
  <sheetData>
    <row r="1" spans="1:65" s="36" customFormat="1" ht="30" customHeight="1" thickBot="1">
      <c r="A1" s="291" t="s">
        <v>397</v>
      </c>
      <c r="B1" s="291"/>
      <c r="C1" s="291"/>
      <c r="D1" s="291"/>
      <c r="E1" s="291"/>
      <c r="F1" s="291"/>
      <c r="G1" s="291"/>
      <c r="H1" s="291"/>
      <c r="I1" s="291"/>
      <c r="J1" s="291"/>
      <c r="K1" s="291"/>
      <c r="L1" s="291"/>
      <c r="M1" s="291"/>
      <c r="N1" s="291"/>
      <c r="O1" s="291"/>
    </row>
    <row r="2" spans="1:65" s="152" customFormat="1" ht="16.05" customHeight="1" thickBot="1">
      <c r="A2" s="318" t="s">
        <v>84</v>
      </c>
      <c r="B2" s="319">
        <v>2018</v>
      </c>
      <c r="C2" s="319">
        <v>2019</v>
      </c>
      <c r="D2" s="319">
        <v>2020</v>
      </c>
      <c r="E2" s="319">
        <v>2021</v>
      </c>
      <c r="F2" s="319">
        <v>2022</v>
      </c>
      <c r="G2" s="319">
        <v>2023</v>
      </c>
      <c r="H2" s="319">
        <v>2024</v>
      </c>
      <c r="I2" s="331" t="s">
        <v>59</v>
      </c>
      <c r="J2" s="319" t="s">
        <v>60</v>
      </c>
      <c r="K2" s="319" t="s">
        <v>61</v>
      </c>
      <c r="L2" s="319" t="s">
        <v>62</v>
      </c>
      <c r="M2" s="319" t="s">
        <v>63</v>
      </c>
      <c r="N2" s="319" t="s">
        <v>64</v>
      </c>
      <c r="O2" s="319" t="s">
        <v>65</v>
      </c>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row>
    <row r="3" spans="1:65" s="155" customFormat="1" ht="16.05" customHeight="1" thickBot="1">
      <c r="A3" s="271" t="s">
        <v>85</v>
      </c>
      <c r="B3" s="324">
        <f>'Inc. Stmt.'!B17</f>
        <v>64535</v>
      </c>
      <c r="C3" s="324">
        <f>'Inc. Stmt.'!C17</f>
        <v>64302</v>
      </c>
      <c r="D3" s="324">
        <f>'Inc. Stmt.'!D17</f>
        <v>117797</v>
      </c>
      <c r="E3" s="324">
        <f>'Inc. Stmt.'!E17</f>
        <v>204381</v>
      </c>
      <c r="F3" s="324">
        <f>'Inc. Stmt.'!F17</f>
        <v>313997</v>
      </c>
      <c r="G3" s="324">
        <f>'Inc. Stmt.'!G17</f>
        <v>306675</v>
      </c>
      <c r="H3" s="324">
        <f>'Inc. Stmt.'!H17</f>
        <v>417155</v>
      </c>
      <c r="I3" s="332">
        <f>'Inc. Stmt.'!I17</f>
        <v>334936.53757751727</v>
      </c>
      <c r="J3" s="325">
        <f>'Inc. Stmt.'!J17</f>
        <v>329685.38419220468</v>
      </c>
      <c r="K3" s="325">
        <f>'Inc. Stmt.'!K17</f>
        <v>324604.77675520221</v>
      </c>
      <c r="L3" s="325">
        <f>'Inc. Stmt.'!L17</f>
        <v>338530.81344959955</v>
      </c>
      <c r="M3" s="325">
        <f>'Inc. Stmt.'!M17</f>
        <v>353777.07507173275</v>
      </c>
      <c r="N3" s="325">
        <f>'Inc. Stmt.'!N17</f>
        <v>375855.49997489864</v>
      </c>
      <c r="O3" s="325">
        <f>'Inc. Stmt.'!O17</f>
        <v>400757.59372097556</v>
      </c>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159"/>
      <c r="AV3" s="159"/>
      <c r="AW3" s="159"/>
      <c r="AX3" s="159"/>
      <c r="AY3" s="159"/>
      <c r="AZ3" s="159"/>
      <c r="BA3" s="159"/>
      <c r="BB3" s="159"/>
      <c r="BC3" s="159"/>
      <c r="BD3" s="159"/>
      <c r="BE3" s="159"/>
      <c r="BF3" s="159"/>
      <c r="BG3" s="159"/>
      <c r="BH3" s="159"/>
      <c r="BI3" s="159"/>
      <c r="BJ3" s="159"/>
      <c r="BK3" s="159"/>
      <c r="BL3" s="159"/>
      <c r="BM3" s="159"/>
    </row>
    <row r="4" spans="1:65" s="152" customFormat="1" ht="16.05" customHeight="1" thickBot="1">
      <c r="A4" s="293" t="s">
        <v>398</v>
      </c>
      <c r="B4" s="326"/>
      <c r="C4" s="326"/>
      <c r="D4" s="326"/>
      <c r="E4" s="326"/>
      <c r="F4" s="326"/>
      <c r="G4" s="326"/>
      <c r="H4" s="326"/>
      <c r="I4" s="333"/>
      <c r="J4" s="326"/>
      <c r="K4" s="326"/>
      <c r="L4" s="326"/>
      <c r="M4" s="326"/>
      <c r="N4" s="326"/>
      <c r="O4" s="32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row>
    <row r="5" spans="1:65" s="158" customFormat="1" ht="16.05" customHeight="1">
      <c r="A5" s="365" t="s">
        <v>86</v>
      </c>
      <c r="B5" s="320">
        <v>2943</v>
      </c>
      <c r="C5" s="320">
        <v>3079</v>
      </c>
      <c r="D5" s="320">
        <v>3666</v>
      </c>
      <c r="E5" s="320">
        <v>2744</v>
      </c>
      <c r="F5" s="320">
        <v>2367</v>
      </c>
      <c r="G5" s="320">
        <v>3545</v>
      </c>
      <c r="H5" s="320">
        <v>4879</v>
      </c>
      <c r="I5" s="334">
        <f>'Inc. Stmt.'!I5*'random calculations'!$E$15</f>
        <v>3953.0429687500923</v>
      </c>
      <c r="J5" s="323">
        <f>'Inc. Stmt.'!J5*'random calculations'!$E$15</f>
        <v>3977.4213172291011</v>
      </c>
      <c r="K5" s="323">
        <f>'Inc. Stmt.'!K5*'random calculations'!$E$15</f>
        <v>4051.166251782427</v>
      </c>
      <c r="L5" s="323">
        <f>'Inc. Stmt.'!L5*'random calculations'!$E$15</f>
        <v>4375.8591150658322</v>
      </c>
      <c r="M5" s="323">
        <f>'Inc. Stmt.'!M5*'random calculations'!$E$15</f>
        <v>4698.4482200279426</v>
      </c>
      <c r="N5" s="323">
        <f>'Inc. Stmt.'!N5*'random calculations'!$E$15</f>
        <v>4991.6677175498407</v>
      </c>
      <c r="O5" s="323">
        <f>'Inc. Stmt.'!O5*'random calculations'!$E$15</f>
        <v>5322.3878412675822</v>
      </c>
    </row>
    <row r="6" spans="1:65" s="158" customFormat="1" ht="16.05" customHeight="1">
      <c r="A6" s="365" t="s">
        <v>87</v>
      </c>
      <c r="B6" s="321">
        <v>0</v>
      </c>
      <c r="C6" s="320">
        <v>0</v>
      </c>
      <c r="D6" s="320">
        <v>36</v>
      </c>
      <c r="E6" s="320">
        <v>150</v>
      </c>
      <c r="F6" s="320">
        <v>-377</v>
      </c>
      <c r="G6" s="320">
        <v>207</v>
      </c>
      <c r="H6" s="320">
        <v>74</v>
      </c>
      <c r="I6" s="334">
        <v>0</v>
      </c>
      <c r="J6" s="323">
        <v>0</v>
      </c>
      <c r="K6" s="323">
        <v>0</v>
      </c>
      <c r="L6" s="323">
        <v>0</v>
      </c>
      <c r="M6" s="323">
        <v>0</v>
      </c>
      <c r="N6" s="323">
        <v>0</v>
      </c>
      <c r="O6" s="323">
        <v>0</v>
      </c>
    </row>
    <row r="7" spans="1:65" s="158" customFormat="1" ht="16.05" customHeight="1">
      <c r="A7" s="365" t="s">
        <v>88</v>
      </c>
      <c r="B7" s="320">
        <v>1774</v>
      </c>
      <c r="C7" s="320">
        <v>2191</v>
      </c>
      <c r="D7" s="320">
        <v>2097</v>
      </c>
      <c r="E7" s="320">
        <v>3078</v>
      </c>
      <c r="F7" s="320">
        <v>3477</v>
      </c>
      <c r="G7" s="320">
        <v>6753</v>
      </c>
      <c r="H7" s="320">
        <v>8402</v>
      </c>
      <c r="I7" s="334">
        <f>'Inc. Stmt.'!I5*'random calculations'!$E$4</f>
        <v>6824.0399595075132</v>
      </c>
      <c r="J7" s="323">
        <f>'Inc. Stmt.'!J5*'random calculations'!$E$4</f>
        <v>6866.1236973982141</v>
      </c>
      <c r="K7" s="323">
        <f>'Inc. Stmt.'!K5*'random calculations'!$E$4</f>
        <v>6993.4277475138852</v>
      </c>
      <c r="L7" s="323">
        <f>'Inc. Stmt.'!L5*'random calculations'!$E$4</f>
        <v>7553.9369782833783</v>
      </c>
      <c r="M7" s="323">
        <f>'Inc. Stmt.'!M5*'random calculations'!$E$4</f>
        <v>8110.8145432796546</v>
      </c>
      <c r="N7" s="323">
        <f>'Inc. Stmt.'!N5*'random calculations'!$E$4</f>
        <v>8616.9920839272399</v>
      </c>
      <c r="O7" s="323">
        <f>'Inc. Stmt.'!O5*'random calculations'!$E$4</f>
        <v>9187.9060247834714</v>
      </c>
    </row>
    <row r="8" spans="1:65" s="158" customFormat="1" ht="16.05" customHeight="1">
      <c r="A8" s="365" t="s">
        <v>89</v>
      </c>
      <c r="B8" s="320">
        <v>1693</v>
      </c>
      <c r="C8" s="320">
        <v>4906</v>
      </c>
      <c r="D8" s="320">
        <v>368</v>
      </c>
      <c r="E8" s="320">
        <v>0</v>
      </c>
      <c r="F8" s="320">
        <v>0</v>
      </c>
      <c r="G8" s="320">
        <v>0</v>
      </c>
      <c r="H8" s="320">
        <v>0</v>
      </c>
      <c r="I8" s="334">
        <v>0</v>
      </c>
      <c r="J8" s="323">
        <v>0</v>
      </c>
      <c r="K8" s="323">
        <v>0</v>
      </c>
      <c r="L8" s="323">
        <v>0</v>
      </c>
      <c r="M8" s="323">
        <v>0</v>
      </c>
      <c r="N8" s="323">
        <v>0</v>
      </c>
      <c r="O8" s="323">
        <v>0</v>
      </c>
    </row>
    <row r="9" spans="1:65" s="158" customFormat="1" ht="16.05" customHeight="1">
      <c r="A9" s="365" t="s">
        <v>6</v>
      </c>
      <c r="B9" s="320">
        <v>-7259</v>
      </c>
      <c r="C9" s="320">
        <v>-9809</v>
      </c>
      <c r="D9" s="320">
        <v>-16654</v>
      </c>
      <c r="E9" s="320">
        <v>-19713</v>
      </c>
      <c r="F9" s="320">
        <v>-25626</v>
      </c>
      <c r="G9" s="320">
        <v>-16742</v>
      </c>
      <c r="H9" s="320">
        <v>-5083</v>
      </c>
      <c r="I9" s="334">
        <f>-'Inc. Stmt.'!I13</f>
        <v>-5083</v>
      </c>
      <c r="J9" s="323">
        <f>-'Inc. Stmt.'!J13</f>
        <v>-5069.3901945645976</v>
      </c>
      <c r="K9" s="323">
        <f>-'Inc. Stmt.'!K13</f>
        <v>-5100.6530373204514</v>
      </c>
      <c r="L9" s="323">
        <f>-'Inc. Stmt.'!L13</f>
        <v>-5195.2236886082728</v>
      </c>
      <c r="M9" s="323">
        <f>-'Inc. Stmt.'!M13</f>
        <v>-5611.6104646656158</v>
      </c>
      <c r="N9" s="323">
        <f>-'Inc. Stmt.'!N13</f>
        <v>-6025.2993768520073</v>
      </c>
      <c r="O9" s="323">
        <f>-'Inc. Stmt.'!O13</f>
        <v>-6401.3246458266749</v>
      </c>
    </row>
    <row r="10" spans="1:65" s="158" customFormat="1" ht="16.05" customHeight="1">
      <c r="A10" s="365" t="s">
        <v>90</v>
      </c>
      <c r="B10" s="320">
        <v>0</v>
      </c>
      <c r="C10" s="320">
        <v>0</v>
      </c>
      <c r="D10" s="320">
        <v>0</v>
      </c>
      <c r="E10" s="320">
        <v>0</v>
      </c>
      <c r="F10" s="320">
        <v>0</v>
      </c>
      <c r="G10" s="320">
        <v>0</v>
      </c>
      <c r="H10" s="320">
        <v>-10718</v>
      </c>
      <c r="I10" s="334">
        <v>0</v>
      </c>
      <c r="J10" s="323">
        <v>0</v>
      </c>
      <c r="K10" s="323">
        <v>0</v>
      </c>
      <c r="L10" s="323">
        <v>0</v>
      </c>
      <c r="M10" s="323">
        <v>0</v>
      </c>
      <c r="N10" s="323">
        <v>0</v>
      </c>
      <c r="O10" s="323"/>
    </row>
    <row r="11" spans="1:65" s="158" customFormat="1" ht="16.05" customHeight="1">
      <c r="A11" s="365" t="s">
        <v>91</v>
      </c>
      <c r="B11" s="320">
        <v>663</v>
      </c>
      <c r="C11" s="320">
        <v>884</v>
      </c>
      <c r="D11" s="320">
        <v>1513</v>
      </c>
      <c r="E11" s="320">
        <v>223</v>
      </c>
      <c r="F11" s="320">
        <v>966</v>
      </c>
      <c r="G11" s="320">
        <v>64</v>
      </c>
      <c r="H11" s="320">
        <v>284</v>
      </c>
      <c r="I11" s="334">
        <f>'Inc. Stmt.'!I5*'random calculations'!$E$6</f>
        <v>502.99785166011304</v>
      </c>
      <c r="J11" s="323">
        <f>'Inc. Stmt.'!J5*'random calculations'!$E$6</f>
        <v>506.09983082120482</v>
      </c>
      <c r="K11" s="323">
        <f>'Inc. Stmt.'!K5*'random calculations'!$E$6</f>
        <v>515.48337254953242</v>
      </c>
      <c r="L11" s="323">
        <f>'Inc. Stmt.'!L5*'random calculations'!$E$6</f>
        <v>556.79833268834511</v>
      </c>
      <c r="M11" s="323">
        <f>'Inc. Stmt.'!M5*'random calculations'!$E$6</f>
        <v>597.84560387857084</v>
      </c>
      <c r="N11" s="323">
        <f>'Inc. Stmt.'!N5*'random calculations'!$E$6</f>
        <v>635.15579212704495</v>
      </c>
      <c r="O11" s="323">
        <f>'Inc. Stmt.'!O5*'random calculations'!$E$6</f>
        <v>677.23768019298439</v>
      </c>
    </row>
    <row r="12" spans="1:65" s="158" customFormat="1" ht="16.05" customHeight="1">
      <c r="A12" s="365" t="s">
        <v>92</v>
      </c>
      <c r="B12" s="320">
        <v>4623</v>
      </c>
      <c r="C12" s="320">
        <v>5084</v>
      </c>
      <c r="D12" s="320">
        <v>10936</v>
      </c>
      <c r="E12" s="320">
        <v>10548</v>
      </c>
      <c r="F12" s="320">
        <v>11483</v>
      </c>
      <c r="G12" s="320">
        <v>11859</v>
      </c>
      <c r="H12" s="320">
        <v>7670</v>
      </c>
      <c r="I12" s="334">
        <f>-I9*'random calculations'!$E$9</f>
        <v>4516.0579438100485</v>
      </c>
      <c r="J12" s="323">
        <f>-J9*'random calculations'!$E$9</f>
        <v>4503.9661338650831</v>
      </c>
      <c r="K12" s="323">
        <f>-K9*'random calculations'!$E$9</f>
        <v>4531.7420160948013</v>
      </c>
      <c r="L12" s="323">
        <f>-L9*'random calculations'!$E$9</f>
        <v>4615.7645502281193</v>
      </c>
      <c r="M12" s="323">
        <f>-M9*'random calculations'!$E$9</f>
        <v>4985.7088366163189</v>
      </c>
      <c r="N12" s="323">
        <f>-N9*'random calculations'!$E$9</f>
        <v>5353.2561705029002</v>
      </c>
      <c r="O12" s="323">
        <f>-O9*'random calculations'!$E$9</f>
        <v>5687.3407471360615</v>
      </c>
    </row>
    <row r="13" spans="1:65" s="152" customFormat="1" ht="16.05" customHeight="1" thickBot="1">
      <c r="A13" s="293" t="s">
        <v>93</v>
      </c>
      <c r="B13" s="327"/>
      <c r="C13" s="327"/>
      <c r="D13" s="327"/>
      <c r="E13" s="327"/>
      <c r="F13" s="327"/>
      <c r="G13" s="327"/>
      <c r="H13" s="327"/>
      <c r="I13" s="335"/>
      <c r="J13" s="327"/>
      <c r="K13" s="327"/>
      <c r="L13" s="327"/>
      <c r="M13" s="327"/>
      <c r="N13" s="327"/>
      <c r="O13" s="327"/>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row>
    <row r="14" spans="1:65" s="154" customFormat="1" ht="16.05" customHeight="1">
      <c r="A14" s="365" t="s">
        <v>94</v>
      </c>
      <c r="B14" s="320">
        <v>-3029</v>
      </c>
      <c r="C14" s="320">
        <v>122</v>
      </c>
      <c r="D14" s="320">
        <v>-504</v>
      </c>
      <c r="E14" s="320">
        <v>-1647</v>
      </c>
      <c r="F14" s="320">
        <v>1583</v>
      </c>
      <c r="G14" s="320">
        <v>-5344</v>
      </c>
      <c r="H14" s="320">
        <v>-3226</v>
      </c>
      <c r="I14" s="304">
        <f>'Bal. Sheet'!H5-'Bal. Sheet'!I5</f>
        <v>2025.4259200133965</v>
      </c>
      <c r="J14" s="300">
        <f>'Bal. Sheet'!I5-'Bal. Sheet'!J5</f>
        <v>-4520.2311873761828</v>
      </c>
      <c r="K14" s="300">
        <f>'Bal. Sheet'!J5-'Bal. Sheet'!K5</f>
        <v>3562.2887384176593</v>
      </c>
      <c r="L14" s="300">
        <f>'Bal. Sheet'!K5-'Bal. Sheet'!L5</f>
        <v>387.935936086742</v>
      </c>
      <c r="M14" s="300">
        <f>'Bal. Sheet'!L5-'Bal. Sheet'!M5</f>
        <v>216.61833881815619</v>
      </c>
      <c r="N14" s="300">
        <f>'Bal. Sheet'!M5-'Bal. Sheet'!N5</f>
        <v>4234.0037682926068</v>
      </c>
      <c r="O14" s="300">
        <f>'Bal. Sheet'!N5-'Bal. Sheet'!O5</f>
        <v>-8904.4594798812723</v>
      </c>
    </row>
    <row r="15" spans="1:65" s="154" customFormat="1" ht="16.05" customHeight="1">
      <c r="A15" s="365" t="s">
        <v>95</v>
      </c>
      <c r="B15" s="320">
        <v>-129291</v>
      </c>
      <c r="C15" s="320">
        <v>-83970</v>
      </c>
      <c r="D15" s="320">
        <v>-90345</v>
      </c>
      <c r="E15" s="320">
        <v>-358270</v>
      </c>
      <c r="F15" s="320">
        <v>-217598</v>
      </c>
      <c r="G15" s="320">
        <v>-109243</v>
      </c>
      <c r="H15" s="320">
        <v>-403312</v>
      </c>
      <c r="I15" s="334">
        <f>'Bal. Sheet'!H6-'Bal. Sheet'!I6</f>
        <v>-186515</v>
      </c>
      <c r="J15" s="323">
        <f>'Bal. Sheet'!I6-'Bal. Sheet'!J6</f>
        <v>-12511</v>
      </c>
      <c r="K15" s="323">
        <f>'Bal. Sheet'!J6-'Bal. Sheet'!K6</f>
        <v>-171047</v>
      </c>
      <c r="L15" s="323">
        <f>'Bal. Sheet'!K6-'Bal. Sheet'!L6</f>
        <v>-220076</v>
      </c>
      <c r="M15" s="323">
        <f>'Bal. Sheet'!L6-'Bal. Sheet'!M6</f>
        <v>-77367</v>
      </c>
      <c r="N15" s="323">
        <f>'Bal. Sheet'!M6-'Bal. Sheet'!N6</f>
        <v>-142818</v>
      </c>
      <c r="O15" s="323">
        <f>'Bal. Sheet'!N6-'Bal. Sheet'!O6</f>
        <v>-100679</v>
      </c>
    </row>
    <row r="16" spans="1:65" s="154" customFormat="1" ht="16.05" customHeight="1">
      <c r="A16" s="365" t="s">
        <v>96</v>
      </c>
      <c r="B16" s="320">
        <v>2119</v>
      </c>
      <c r="C16" s="320">
        <v>2107</v>
      </c>
      <c r="D16" s="320">
        <v>-9069</v>
      </c>
      <c r="E16" s="320">
        <v>-3772</v>
      </c>
      <c r="F16" s="320">
        <v>2021</v>
      </c>
      <c r="G16" s="320">
        <v>7290</v>
      </c>
      <c r="H16" s="320">
        <v>2990</v>
      </c>
      <c r="I16" s="334">
        <f>'Bal. Sheet'!H7-'Bal. Sheet'!I7</f>
        <v>-226.33793943191449</v>
      </c>
      <c r="J16" s="323">
        <f>'Bal. Sheet'!I7-'Bal. Sheet'!J7</f>
        <v>-230.09675246487859</v>
      </c>
      <c r="K16" s="323">
        <f>'Bal. Sheet'!J7-'Bal. Sheet'!K7</f>
        <v>-233.9179884193054</v>
      </c>
      <c r="L16" s="323">
        <f>'Bal. Sheet'!K7-'Bal. Sheet'!L7</f>
        <v>-237.80268395785424</v>
      </c>
      <c r="M16" s="323">
        <f>'Bal. Sheet'!L7-'Bal. Sheet'!M7</f>
        <v>-241.75189295913151</v>
      </c>
      <c r="N16" s="323">
        <f>'Bal. Sheet'!M7-'Bal. Sheet'!N7</f>
        <v>-245.76668680359035</v>
      </c>
      <c r="O16" s="323">
        <f>'Bal. Sheet'!N7-'Bal. Sheet'!O7</f>
        <v>-249.84815466419059</v>
      </c>
    </row>
    <row r="17" spans="1:65" s="154" customFormat="1" ht="16.05" customHeight="1">
      <c r="A17" s="365" t="s">
        <v>97</v>
      </c>
      <c r="B17" s="320">
        <v>-3404</v>
      </c>
      <c r="C17" s="320">
        <v>-2409</v>
      </c>
      <c r="D17" s="320">
        <v>-3739</v>
      </c>
      <c r="E17" s="320">
        <v>2054</v>
      </c>
      <c r="F17" s="320">
        <v>-1550</v>
      </c>
      <c r="G17" s="320">
        <v>-14875</v>
      </c>
      <c r="H17" s="320">
        <v>-8002</v>
      </c>
      <c r="I17" s="334">
        <f>'Bal. Sheet'!H15-'Bal. Sheet'!I15</f>
        <v>11003.594777713999</v>
      </c>
      <c r="J17" s="323">
        <f>'Bal. Sheet'!I15-'Bal. Sheet'!J15</f>
        <v>-152.65999425508198</v>
      </c>
      <c r="K17" s="323">
        <f>'Bal. Sheet'!J15-'Bal. Sheet'!K15</f>
        <v>-461.79917786251826</v>
      </c>
      <c r="L17" s="323">
        <f>'Bal. Sheet'!K15-'Bal. Sheet'!L15</f>
        <v>-2033.2636842151805</v>
      </c>
      <c r="M17" s="323">
        <f>'Bal. Sheet'!L15-'Bal. Sheet'!M15</f>
        <v>-2020.0897100421716</v>
      </c>
      <c r="N17" s="323">
        <f>'Bal. Sheet'!M15-'Bal. Sheet'!N15</f>
        <v>-1836.1738837934281</v>
      </c>
      <c r="O17" s="323">
        <f>'Bal. Sheet'!N15-'Bal. Sheet'!O15</f>
        <v>-2071.0070754080589</v>
      </c>
    </row>
    <row r="18" spans="1:65" s="154" customFormat="1" ht="16.05" customHeight="1">
      <c r="A18" s="365" t="s">
        <v>98</v>
      </c>
      <c r="B18" s="320">
        <v>-483</v>
      </c>
      <c r="C18" s="320">
        <v>3953</v>
      </c>
      <c r="D18" s="320">
        <v>-5523</v>
      </c>
      <c r="E18" s="320">
        <v>21161</v>
      </c>
      <c r="F18" s="320">
        <v>6122</v>
      </c>
      <c r="G18" s="320">
        <v>2517</v>
      </c>
      <c r="H18" s="320">
        <v>5426</v>
      </c>
      <c r="I18" s="334">
        <f>'Bal. Sheet'!I18-'Bal. Sheet'!H18</f>
        <v>1799.2066790018434</v>
      </c>
      <c r="J18" s="323">
        <f>'Bal. Sheet'!J18-'Bal. Sheet'!I18</f>
        <v>1828.080517305476</v>
      </c>
      <c r="K18" s="323">
        <f>'Bal. Sheet'!K18-'Bal. Sheet'!J18</f>
        <v>2097.1155499865999</v>
      </c>
      <c r="L18" s="323">
        <f>'Bal. Sheet'!L18-'Bal. Sheet'!K18</f>
        <v>6243.3459741399056</v>
      </c>
      <c r="M18" s="323">
        <f>'Bal. Sheet'!M18-'Bal. Sheet'!L18</f>
        <v>6114.2397189431358</v>
      </c>
      <c r="N18" s="323">
        <f>'Bal. Sheet'!N18-'Bal. Sheet'!M18</f>
        <v>4857.0682477795781</v>
      </c>
      <c r="O18" s="323">
        <f>'Bal. Sheet'!O18-'Bal. Sheet'!N18</f>
        <v>5478.2517035423662</v>
      </c>
    </row>
    <row r="19" spans="1:65" s="154" customFormat="1" ht="16.05" customHeight="1">
      <c r="A19" s="365" t="s">
        <v>99</v>
      </c>
      <c r="B19" s="320">
        <v>9470</v>
      </c>
      <c r="C19" s="320">
        <v>-4384</v>
      </c>
      <c r="D19" s="320">
        <v>15760</v>
      </c>
      <c r="E19" s="320">
        <v>20935</v>
      </c>
      <c r="F19" s="320">
        <v>30017</v>
      </c>
      <c r="G19" s="320">
        <v>5459</v>
      </c>
      <c r="H19" s="320">
        <v>14131</v>
      </c>
      <c r="I19" s="334">
        <f>'Bal. Sheet'!I19-'Bal. Sheet'!H19</f>
        <v>-134.94743860089511</v>
      </c>
      <c r="J19" s="323">
        <f>'Bal. Sheet'!J19-'Bal. Sheet'!I19</f>
        <v>-11075.106769781079</v>
      </c>
      <c r="K19" s="323">
        <f>'Bal. Sheet'!K19-'Bal. Sheet'!J19</f>
        <v>-1523.4476221204532</v>
      </c>
      <c r="L19" s="323">
        <f>'Bal. Sheet'!L19-'Bal. Sheet'!K19</f>
        <v>4175.797431844665</v>
      </c>
      <c r="M19" s="323">
        <f>'Bal. Sheet'!M19-'Bal. Sheet'!L19</f>
        <v>4260.3968652212498</v>
      </c>
      <c r="N19" s="323">
        <f>'Bal. Sheet'!N19-'Bal. Sheet'!M19</f>
        <v>6600.9090331966436</v>
      </c>
      <c r="O19" s="323">
        <f>'Bal. Sheet'!O19-'Bal. Sheet'!N19</f>
        <v>7445.1169535385416</v>
      </c>
    </row>
    <row r="20" spans="1:65" s="154" customFormat="1" ht="16.05" customHeight="1">
      <c r="A20" s="365" t="s">
        <v>100</v>
      </c>
      <c r="B20" s="320">
        <v>0</v>
      </c>
      <c r="C20" s="320">
        <v>-1332</v>
      </c>
      <c r="D20" s="320">
        <v>-5267</v>
      </c>
      <c r="E20" s="320">
        <v>-368</v>
      </c>
      <c r="F20" s="320">
        <v>0</v>
      </c>
      <c r="G20" s="320">
        <v>0</v>
      </c>
      <c r="H20" s="320">
        <v>0</v>
      </c>
      <c r="I20" s="334">
        <v>0</v>
      </c>
      <c r="J20" s="323">
        <v>0</v>
      </c>
      <c r="K20" s="323">
        <v>0</v>
      </c>
      <c r="L20" s="323">
        <v>0</v>
      </c>
      <c r="M20" s="323">
        <v>0</v>
      </c>
      <c r="N20" s="323">
        <v>0</v>
      </c>
      <c r="O20" s="323">
        <v>0</v>
      </c>
    </row>
    <row r="21" spans="1:65" s="154" customFormat="1" ht="16.05" customHeight="1">
      <c r="A21" s="365" t="s">
        <v>101</v>
      </c>
      <c r="B21" s="320">
        <v>1458</v>
      </c>
      <c r="C21" s="320">
        <v>-8024</v>
      </c>
      <c r="D21" s="320">
        <v>14177</v>
      </c>
      <c r="E21" s="320">
        <v>26479</v>
      </c>
      <c r="F21" s="320">
        <v>-35498</v>
      </c>
      <c r="G21" s="320">
        <v>14035</v>
      </c>
      <c r="H21" s="320">
        <v>-6079</v>
      </c>
      <c r="I21" s="334">
        <f>'Bal. Sheet'!I20-'Bal. Sheet'!H20</f>
        <v>30262.422163021081</v>
      </c>
      <c r="J21" s="323">
        <f>'Bal. Sheet'!J20-'Bal. Sheet'!I20</f>
        <v>415.22556362394243</v>
      </c>
      <c r="K21" s="323">
        <f>'Bal. Sheet'!K20-'Bal. Sheet'!J20</f>
        <v>1256.0646608477837</v>
      </c>
      <c r="L21" s="323">
        <f>'Bal. Sheet'!L20-'Bal. Sheet'!K20</f>
        <v>5530.3490832289535</v>
      </c>
      <c r="M21" s="323">
        <f>'Bal. Sheet'!M20-'Bal. Sheet'!L20</f>
        <v>5494.5167037123465</v>
      </c>
      <c r="N21" s="323">
        <f>'Bal. Sheet'!N20-'Bal. Sheet'!M20</f>
        <v>4994.2772468321346</v>
      </c>
      <c r="O21" s="323">
        <f>'Bal. Sheet'!O20-'Bal. Sheet'!N20</f>
        <v>5633.008728656132</v>
      </c>
    </row>
    <row r="22" spans="1:65" s="155" customFormat="1" ht="16.05" customHeight="1" thickBot="1">
      <c r="A22" s="298" t="s">
        <v>361</v>
      </c>
      <c r="B22" s="328">
        <f t="shared" ref="B22:G22" si="0">SUM(B3:B21)</f>
        <v>-54188</v>
      </c>
      <c r="C22" s="328">
        <f t="shared" si="0"/>
        <v>-23300</v>
      </c>
      <c r="D22" s="328">
        <f t="shared" si="0"/>
        <v>35249</v>
      </c>
      <c r="E22" s="328">
        <f t="shared" si="0"/>
        <v>-92017</v>
      </c>
      <c r="F22" s="328">
        <f t="shared" si="0"/>
        <v>91384</v>
      </c>
      <c r="G22" s="328">
        <f t="shared" si="0"/>
        <v>212200</v>
      </c>
      <c r="H22" s="328">
        <f t="shared" ref="H22" si="1">SUM(H3:H21)</f>
        <v>24591</v>
      </c>
      <c r="I22" s="336">
        <f>SUM(I3:I21)</f>
        <v>203864.04046296261</v>
      </c>
      <c r="J22" s="329">
        <f>SUM(J3:J21)</f>
        <v>314223.81635400589</v>
      </c>
      <c r="K22" s="329">
        <f>SUM(K3:K21)</f>
        <v>169245.24726667214</v>
      </c>
      <c r="L22" s="329">
        <f t="shared" ref="L22" si="2">SUM(L3:L21)</f>
        <v>144428.31079438422</v>
      </c>
      <c r="M22" s="329">
        <f>SUM(M3:M21)</f>
        <v>303015.21183456318</v>
      </c>
      <c r="N22" s="329">
        <f>SUM(N3:N21)</f>
        <v>265213.59008765768</v>
      </c>
      <c r="O22" s="329">
        <f>SUM(O3:O21)</f>
        <v>321883.20404431247</v>
      </c>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row>
    <row r="23" spans="1:65" s="154" customFormat="1" ht="16.05" customHeight="1" thickTop="1">
      <c r="A23" s="365" t="s">
        <v>102</v>
      </c>
      <c r="B23" s="320">
        <v>-26861</v>
      </c>
      <c r="C23" s="320">
        <v>0</v>
      </c>
      <c r="D23" s="320">
        <v>0</v>
      </c>
      <c r="E23" s="320">
        <v>0</v>
      </c>
      <c r="F23" s="320">
        <v>0</v>
      </c>
      <c r="G23" s="320">
        <v>0</v>
      </c>
      <c r="H23" s="320">
        <v>0</v>
      </c>
      <c r="I23" s="334">
        <v>0</v>
      </c>
      <c r="J23" s="323">
        <v>0</v>
      </c>
      <c r="K23" s="323">
        <v>0</v>
      </c>
      <c r="L23" s="323">
        <v>0</v>
      </c>
      <c r="M23" s="323">
        <v>0</v>
      </c>
      <c r="N23" s="323">
        <v>0</v>
      </c>
      <c r="O23" s="323"/>
    </row>
    <row r="24" spans="1:65" s="152" customFormat="1" ht="16.05" customHeight="1" thickBot="1">
      <c r="A24" s="293" t="s">
        <v>103</v>
      </c>
      <c r="B24" s="327"/>
      <c r="C24" s="327"/>
      <c r="D24" s="327"/>
      <c r="E24" s="327"/>
      <c r="F24" s="327"/>
      <c r="G24" s="327"/>
      <c r="H24" s="327"/>
      <c r="I24" s="335"/>
      <c r="J24" s="327"/>
      <c r="K24" s="327"/>
      <c r="L24" s="327"/>
      <c r="M24" s="327"/>
      <c r="N24" s="327"/>
      <c r="O24" s="327"/>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row>
    <row r="25" spans="1:65" s="154" customFormat="1" ht="16.05" customHeight="1">
      <c r="A25" s="365" t="s">
        <v>104</v>
      </c>
      <c r="B25" s="320">
        <v>0</v>
      </c>
      <c r="C25" s="320">
        <v>0</v>
      </c>
      <c r="D25" s="320">
        <v>0</v>
      </c>
      <c r="E25" s="320">
        <v>0</v>
      </c>
      <c r="F25" s="320">
        <v>0</v>
      </c>
      <c r="G25" s="320">
        <v>0</v>
      </c>
      <c r="H25" s="320">
        <v>63960</v>
      </c>
      <c r="I25" s="334">
        <v>0</v>
      </c>
      <c r="J25" s="323">
        <v>0</v>
      </c>
      <c r="K25" s="323">
        <v>0</v>
      </c>
      <c r="L25" s="323">
        <v>0</v>
      </c>
      <c r="M25" s="323">
        <v>0</v>
      </c>
      <c r="N25" s="323">
        <v>0</v>
      </c>
      <c r="O25" s="323">
        <v>0</v>
      </c>
    </row>
    <row r="26" spans="1:65" s="154" customFormat="1" ht="16.05" customHeight="1">
      <c r="A26" s="365" t="s">
        <v>105</v>
      </c>
      <c r="B26" s="320">
        <v>-755</v>
      </c>
      <c r="C26" s="320">
        <v>-5300</v>
      </c>
      <c r="D26" s="320">
        <v>-10431</v>
      </c>
      <c r="E26" s="320">
        <v>-8000</v>
      </c>
      <c r="F26" s="320">
        <v>-4465</v>
      </c>
      <c r="G26" s="320">
        <v>-5547</v>
      </c>
      <c r="H26" s="320">
        <v>-31757</v>
      </c>
      <c r="I26" s="334">
        <v>0</v>
      </c>
      <c r="J26" s="323">
        <v>0</v>
      </c>
      <c r="K26" s="323">
        <v>0</v>
      </c>
      <c r="L26" s="323">
        <v>0</v>
      </c>
      <c r="M26" s="323">
        <v>0</v>
      </c>
      <c r="N26" s="323">
        <v>0</v>
      </c>
      <c r="O26" s="323">
        <v>0</v>
      </c>
    </row>
    <row r="27" spans="1:65" s="154" customFormat="1" ht="16.05" customHeight="1">
      <c r="A27" s="365" t="s">
        <v>106</v>
      </c>
      <c r="B27" s="320">
        <v>-3211</v>
      </c>
      <c r="C27" s="320">
        <v>-2569</v>
      </c>
      <c r="D27" s="320">
        <v>-2903</v>
      </c>
      <c r="E27" s="320">
        <v>-2025</v>
      </c>
      <c r="F27" s="320">
        <v>-2012</v>
      </c>
      <c r="G27" s="320">
        <v>-7802</v>
      </c>
      <c r="H27" s="320">
        <v>-4365</v>
      </c>
      <c r="I27" s="334">
        <f>'Inc. Stmt.'!I5*'random calculations'!$E$11</f>
        <v>-5312.1754091869698</v>
      </c>
      <c r="J27" s="323">
        <f>'Inc. Stmt.'!J5*'random calculations'!$E$11</f>
        <v>-5344.9355042151619</v>
      </c>
      <c r="K27" s="323">
        <f>'Inc. Stmt.'!K5*'random calculations'!$E$11</f>
        <v>-5444.0353700610794</v>
      </c>
      <c r="L27" s="323">
        <f>'Inc. Stmt.'!L5*'random calculations'!$E$11</f>
        <v>-5880.3639041822216</v>
      </c>
      <c r="M27" s="323">
        <f>'Inc. Stmt.'!M5*'random calculations'!$E$11</f>
        <v>-6313.8653672824803</v>
      </c>
      <c r="N27" s="323">
        <f>'Inc. Stmt.'!N5*'random calculations'!$E$11</f>
        <v>-6707.8993852639478</v>
      </c>
      <c r="O27" s="323">
        <f>'Inc. Stmt.'!O5*'random calculations'!$E$11</f>
        <v>-7152.3274682433112</v>
      </c>
    </row>
    <row r="28" spans="1:65" s="155" customFormat="1" ht="16.05" customHeight="1" thickBot="1">
      <c r="A28" s="298" t="s">
        <v>107</v>
      </c>
      <c r="B28" s="328">
        <v>-30827</v>
      </c>
      <c r="C28" s="328">
        <v>-7869</v>
      </c>
      <c r="D28" s="328">
        <f>SUM(D3:D27)</f>
        <v>57164</v>
      </c>
      <c r="E28" s="328">
        <v>-2033</v>
      </c>
      <c r="F28" s="328">
        <v>-6477</v>
      </c>
      <c r="G28" s="328">
        <v>-13349</v>
      </c>
      <c r="H28" s="328">
        <v>27838</v>
      </c>
      <c r="I28" s="336">
        <f>SUM(I25:I27)</f>
        <v>-5312.1754091869698</v>
      </c>
      <c r="J28" s="329">
        <f>SUM(J25:J27)</f>
        <v>-5344.9355042151619</v>
      </c>
      <c r="K28" s="329">
        <f>SUM(K25:K27)</f>
        <v>-5444.0353700610794</v>
      </c>
      <c r="L28" s="329">
        <f t="shared" ref="L28" si="3">SUM(L25:L27)</f>
        <v>-5880.3639041822216</v>
      </c>
      <c r="M28" s="329">
        <f>SUM(M25:M27)</f>
        <v>-6313.8653672824803</v>
      </c>
      <c r="N28" s="329">
        <f>SUM(N25:N27)</f>
        <v>-6707.8993852639478</v>
      </c>
      <c r="O28" s="329">
        <f>SUM(O25:O27)</f>
        <v>-7152.3274682433112</v>
      </c>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row>
    <row r="29" spans="1:65" s="152" customFormat="1" ht="16.05" customHeight="1" thickTop="1" thickBot="1">
      <c r="A29" s="296" t="s">
        <v>108</v>
      </c>
      <c r="B29" s="330"/>
      <c r="C29" s="330"/>
      <c r="D29" s="330"/>
      <c r="E29" s="330"/>
      <c r="F29" s="330"/>
      <c r="G29" s="330"/>
      <c r="H29" s="330"/>
      <c r="I29" s="337"/>
      <c r="J29" s="330"/>
      <c r="K29" s="330"/>
      <c r="L29" s="330"/>
      <c r="M29" s="330"/>
      <c r="N29" s="330"/>
      <c r="O29" s="330"/>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row>
    <row r="30" spans="1:65" s="154" customFormat="1" ht="16.05" customHeight="1">
      <c r="A30" s="365" t="s">
        <v>109</v>
      </c>
      <c r="B30" s="320">
        <v>165000</v>
      </c>
      <c r="C30" s="320">
        <v>224000</v>
      </c>
      <c r="D30" s="320">
        <v>354500</v>
      </c>
      <c r="E30" s="320">
        <v>749800</v>
      </c>
      <c r="F30" s="320">
        <v>420000</v>
      </c>
      <c r="G30" s="320">
        <v>22000</v>
      </c>
      <c r="H30" s="320">
        <v>106000</v>
      </c>
      <c r="I30" s="334">
        <f>33199.0087012453+42125</f>
        <v>75324.0087012453</v>
      </c>
      <c r="J30" s="323">
        <f>20428.1058996613+ 781+ 41344</f>
        <v>62553.105899661299</v>
      </c>
      <c r="K30" s="323">
        <f>11930+ 3438</f>
        <v>15368</v>
      </c>
      <c r="L30" s="323">
        <f>30939.2263848963+ 3417+ 22</f>
        <v>34378.226384896305</v>
      </c>
      <c r="M30" s="323">
        <f xml:space="preserve"> 3105+ 311</f>
        <v>3416</v>
      </c>
      <c r="N30" s="323">
        <v>3503</v>
      </c>
      <c r="O30" s="323">
        <f>17332+ 3502</f>
        <v>20834</v>
      </c>
    </row>
    <row r="31" spans="1:65" s="154" customFormat="1" ht="16.05" customHeight="1">
      <c r="A31" s="365" t="s">
        <v>110</v>
      </c>
      <c r="B31" s="320">
        <v>0</v>
      </c>
      <c r="C31" s="320">
        <v>75000</v>
      </c>
      <c r="D31" s="320">
        <v>37500</v>
      </c>
      <c r="E31" s="320">
        <v>225000</v>
      </c>
      <c r="F31" s="320">
        <v>0</v>
      </c>
      <c r="G31" s="320">
        <v>0</v>
      </c>
      <c r="H31" s="320">
        <v>0</v>
      </c>
      <c r="I31" s="334">
        <v>0</v>
      </c>
      <c r="J31" s="323">
        <v>0</v>
      </c>
      <c r="K31" s="323">
        <v>0</v>
      </c>
      <c r="L31" s="323">
        <v>0</v>
      </c>
      <c r="M31" s="323">
        <v>0</v>
      </c>
      <c r="N31" s="323">
        <v>0</v>
      </c>
      <c r="O31" s="323">
        <v>0</v>
      </c>
    </row>
    <row r="32" spans="1:65" s="154" customFormat="1" ht="16.05" customHeight="1">
      <c r="A32" s="365" t="s">
        <v>111</v>
      </c>
      <c r="B32" s="320">
        <v>-870</v>
      </c>
      <c r="C32" s="320">
        <v>-1974</v>
      </c>
      <c r="D32" s="320">
        <v>-527</v>
      </c>
      <c r="E32" s="320">
        <v>-2901</v>
      </c>
      <c r="F32" s="320">
        <v>-829</v>
      </c>
      <c r="G32" s="320">
        <v>-638</v>
      </c>
      <c r="H32" s="320">
        <v>-841</v>
      </c>
      <c r="I32" s="334">
        <f>H32*0.9</f>
        <v>-756.9</v>
      </c>
      <c r="J32" s="323">
        <f>I32*0.8</f>
        <v>-605.52</v>
      </c>
      <c r="K32" s="323">
        <f>J32*0.8</f>
        <v>-484.416</v>
      </c>
      <c r="L32" s="323">
        <f>K32*0.8</f>
        <v>-387.53280000000001</v>
      </c>
      <c r="M32" s="323">
        <f>L32*0.8</f>
        <v>-310.02624000000003</v>
      </c>
      <c r="N32" s="323">
        <v>0</v>
      </c>
      <c r="O32" s="323">
        <f>N32*0.8</f>
        <v>0</v>
      </c>
    </row>
    <row r="33" spans="1:15" s="154" customFormat="1" ht="16.05" customHeight="1">
      <c r="A33" s="365" t="s">
        <v>112</v>
      </c>
      <c r="B33" s="320">
        <v>-10226</v>
      </c>
      <c r="C33" s="320"/>
      <c r="D33" s="320">
        <f>10714-8590</f>
        <v>2124</v>
      </c>
      <c r="E33" s="320">
        <f>209</f>
        <v>209</v>
      </c>
      <c r="F33" s="320">
        <f>14472-60</f>
        <v>14412</v>
      </c>
      <c r="G33" s="320">
        <f>63-1704</f>
        <v>-1641</v>
      </c>
      <c r="H33" s="320">
        <f>14871-12981</f>
        <v>1890</v>
      </c>
      <c r="I33" s="334">
        <f>50-2500</f>
        <v>-2450</v>
      </c>
      <c r="J33" s="323">
        <f>15000-14871</f>
        <v>129</v>
      </c>
      <c r="K33" s="323">
        <f>60-14871</f>
        <v>-14811</v>
      </c>
      <c r="L33" s="323">
        <f>14000</f>
        <v>14000</v>
      </c>
      <c r="M33" s="323">
        <v>0</v>
      </c>
      <c r="N33" s="323">
        <v>0</v>
      </c>
      <c r="O33" s="323">
        <v>0</v>
      </c>
    </row>
    <row r="34" spans="1:15" s="154" customFormat="1" ht="16.05" customHeight="1">
      <c r="A34" s="365" t="s">
        <v>113</v>
      </c>
      <c r="B34" s="320">
        <v>0</v>
      </c>
      <c r="C34" s="320">
        <v>0</v>
      </c>
      <c r="D34" s="320">
        <v>0</v>
      </c>
      <c r="E34" s="320">
        <v>0</v>
      </c>
      <c r="F34" s="320">
        <v>0</v>
      </c>
      <c r="G34" s="289"/>
      <c r="H34" s="320">
        <v>-37500</v>
      </c>
      <c r="I34" s="334">
        <v>-37500</v>
      </c>
      <c r="J34" s="323">
        <v>-45000</v>
      </c>
      <c r="K34" s="323">
        <v>-62500</v>
      </c>
      <c r="L34" s="323">
        <v>-55000</v>
      </c>
      <c r="M34" s="323">
        <v>-70000</v>
      </c>
      <c r="N34" s="323">
        <v>0</v>
      </c>
      <c r="O34" s="323">
        <v>0</v>
      </c>
    </row>
    <row r="35" spans="1:15" s="154" customFormat="1" ht="16.05" customHeight="1">
      <c r="A35" s="365" t="s">
        <v>114</v>
      </c>
      <c r="B35" s="320">
        <v>-70000</v>
      </c>
      <c r="C35" s="320">
        <v>-260000</v>
      </c>
      <c r="D35" s="320">
        <v>-412500</v>
      </c>
      <c r="E35" s="320">
        <v>-855800</v>
      </c>
      <c r="F35" s="320">
        <v>-402000</v>
      </c>
      <c r="G35" s="320">
        <v>-42000</v>
      </c>
      <c r="H35" s="322">
        <v>-81000</v>
      </c>
      <c r="I35" s="334">
        <f>-42125+109995</f>
        <v>67870</v>
      </c>
      <c r="J35" s="323">
        <f>-94876-1319</f>
        <v>-96195</v>
      </c>
      <c r="K35" s="300">
        <f>-2657+6902-1302</f>
        <v>2943</v>
      </c>
      <c r="L35" s="300">
        <f>15804-8262+8371-8371-8371+8371-1355</f>
        <v>6187</v>
      </c>
      <c r="M35" s="300">
        <f>-14130.2235872801+6335-8371+8371-1415</f>
        <v>-9210.2235872800993</v>
      </c>
      <c r="N35" s="300">
        <f>(-83001.3738439749)+(-397)-7448+14896-8731+17462+8371-17102-1504</f>
        <v>-77454.3738439749</v>
      </c>
      <c r="O35" s="300">
        <f>8731-1602</f>
        <v>7129</v>
      </c>
    </row>
    <row r="36" spans="1:15" s="154" customFormat="1" ht="16.05" customHeight="1">
      <c r="A36" s="365" t="s">
        <v>115</v>
      </c>
      <c r="B36" s="320">
        <v>0</v>
      </c>
      <c r="C36" s="320">
        <v>-514</v>
      </c>
      <c r="D36" s="320">
        <v>0</v>
      </c>
      <c r="E36" s="320">
        <v>0</v>
      </c>
      <c r="F36" s="320">
        <v>0</v>
      </c>
      <c r="G36" s="320">
        <v>0</v>
      </c>
      <c r="H36" s="320">
        <v>0</v>
      </c>
      <c r="I36" s="334">
        <v>0</v>
      </c>
      <c r="J36" s="323">
        <v>0</v>
      </c>
      <c r="K36" s="323">
        <v>0</v>
      </c>
      <c r="L36" s="323">
        <v>0</v>
      </c>
      <c r="M36" s="323">
        <v>0</v>
      </c>
      <c r="N36" s="323">
        <v>0</v>
      </c>
      <c r="O36" s="300"/>
    </row>
    <row r="37" spans="1:15" s="154" customFormat="1" ht="16.05" customHeight="1">
      <c r="A37" s="365" t="s">
        <v>116</v>
      </c>
      <c r="B37" s="320">
        <v>-412</v>
      </c>
      <c r="C37" s="320">
        <v>-544</v>
      </c>
      <c r="D37" s="320">
        <v>-592</v>
      </c>
      <c r="E37" s="320">
        <f>-834</f>
        <v>-834</v>
      </c>
      <c r="F37" s="320">
        <v>-1074</v>
      </c>
      <c r="G37" s="320">
        <v>-1977</v>
      </c>
      <c r="H37" s="320">
        <v>-11337</v>
      </c>
      <c r="I37" s="334">
        <f>I38*10%</f>
        <v>-17416.699954030901</v>
      </c>
      <c r="J37" s="323">
        <f>J38*10%</f>
        <v>-15824.898441225823</v>
      </c>
      <c r="K37" s="323">
        <f>K38*10%</f>
        <v>-15581.029284249707</v>
      </c>
      <c r="L37" s="323">
        <f t="shared" ref="L37" si="4">L38*10%</f>
        <v>-16249.47904558078</v>
      </c>
      <c r="M37" s="323">
        <f>M38*10%</f>
        <v>-16981.299603443171</v>
      </c>
      <c r="N37" s="323">
        <f>N38*10%</f>
        <v>-18041.063998795136</v>
      </c>
      <c r="O37" s="323">
        <f>O38*10%</f>
        <v>-19236.364498606828</v>
      </c>
    </row>
    <row r="38" spans="1:15" s="154" customFormat="1" ht="16.05" customHeight="1">
      <c r="A38" s="365" t="s">
        <v>117</v>
      </c>
      <c r="B38" s="320">
        <v>-981</v>
      </c>
      <c r="C38" s="320">
        <v>-2186</v>
      </c>
      <c r="D38" s="320">
        <v>0</v>
      </c>
      <c r="E38" s="320">
        <v>0</v>
      </c>
      <c r="F38" s="320">
        <v>-101463</v>
      </c>
      <c r="G38" s="320">
        <v>-45777</v>
      </c>
      <c r="H38" s="320">
        <v>-48428</v>
      </c>
      <c r="I38" s="334">
        <f>I3*-52%</f>
        <v>-174166.99954030899</v>
      </c>
      <c r="J38" s="323">
        <f>J3*-48%</f>
        <v>-158248.98441225823</v>
      </c>
      <c r="K38" s="323">
        <f>K3*-48%</f>
        <v>-155810.29284249706</v>
      </c>
      <c r="L38" s="323">
        <f t="shared" ref="L38" si="5">L3*-48%</f>
        <v>-162494.79045580779</v>
      </c>
      <c r="M38" s="323">
        <f>M3*-48%</f>
        <v>-169812.99603443171</v>
      </c>
      <c r="N38" s="323">
        <f>N3*-48%</f>
        <v>-180410.63998795135</v>
      </c>
      <c r="O38" s="323">
        <f>O3*-48%</f>
        <v>-192363.64498606828</v>
      </c>
    </row>
    <row r="39" spans="1:15" s="154" customFormat="1" ht="16.05" customHeight="1">
      <c r="A39" s="365" t="s">
        <v>118</v>
      </c>
      <c r="B39" s="320">
        <v>0</v>
      </c>
      <c r="C39" s="320">
        <v>0</v>
      </c>
      <c r="D39" s="320">
        <v>0</v>
      </c>
      <c r="E39" s="320">
        <v>0</v>
      </c>
      <c r="F39" s="320">
        <v>-2812</v>
      </c>
      <c r="G39" s="320">
        <v>-2875</v>
      </c>
      <c r="H39" s="320">
        <v>-2875</v>
      </c>
      <c r="I39" s="334">
        <v>-2875</v>
      </c>
      <c r="J39" s="323">
        <v>-2875</v>
      </c>
      <c r="K39" s="323">
        <v>-2875</v>
      </c>
      <c r="L39" s="323">
        <v>-2875</v>
      </c>
      <c r="M39" s="323">
        <v>-2875</v>
      </c>
      <c r="N39" s="323">
        <v>-2875</v>
      </c>
      <c r="O39" s="323">
        <v>-2875</v>
      </c>
    </row>
    <row r="40" spans="1:15" s="154" customFormat="1" ht="16.05" customHeight="1">
      <c r="A40" s="365" t="s">
        <v>119</v>
      </c>
      <c r="B40" s="320">
        <v>0</v>
      </c>
      <c r="C40" s="320">
        <v>0</v>
      </c>
      <c r="D40" s="320">
        <v>0</v>
      </c>
      <c r="E40" s="320">
        <v>47696</v>
      </c>
      <c r="F40" s="320">
        <v>0</v>
      </c>
      <c r="G40" s="320">
        <v>0</v>
      </c>
      <c r="H40" s="320">
        <v>0</v>
      </c>
      <c r="I40" s="334">
        <v>0</v>
      </c>
      <c r="J40" s="323">
        <v>0</v>
      </c>
      <c r="K40" s="323">
        <v>0</v>
      </c>
      <c r="L40" s="323">
        <v>0</v>
      </c>
      <c r="M40" s="323">
        <v>0</v>
      </c>
      <c r="N40" s="323">
        <v>0</v>
      </c>
      <c r="O40" s="323">
        <v>0</v>
      </c>
    </row>
    <row r="41" spans="1:15" s="154" customFormat="1" ht="16.05" customHeight="1">
      <c r="A41" s="365" t="s">
        <v>120</v>
      </c>
      <c r="B41" s="320">
        <v>5</v>
      </c>
      <c r="C41" s="320">
        <v>3600</v>
      </c>
      <c r="D41" s="320">
        <v>400</v>
      </c>
      <c r="E41" s="320">
        <v>0</v>
      </c>
      <c r="F41" s="320">
        <v>0</v>
      </c>
      <c r="G41" s="320">
        <v>0</v>
      </c>
      <c r="H41" s="320">
        <v>0</v>
      </c>
      <c r="I41" s="334">
        <v>0</v>
      </c>
      <c r="J41" s="323">
        <v>0</v>
      </c>
      <c r="K41" s="323">
        <v>0</v>
      </c>
      <c r="L41" s="323">
        <v>0</v>
      </c>
      <c r="M41" s="323">
        <v>0</v>
      </c>
      <c r="N41" s="323">
        <v>0</v>
      </c>
      <c r="O41" s="323">
        <v>0</v>
      </c>
    </row>
    <row r="42" spans="1:15" s="154" customFormat="1" ht="16.05" customHeight="1">
      <c r="A42" s="365" t="s">
        <v>121</v>
      </c>
      <c r="B42" s="320">
        <v>-10747</v>
      </c>
      <c r="C42" s="320">
        <v>-10993</v>
      </c>
      <c r="D42" s="320">
        <v>-5251</v>
      </c>
      <c r="E42" s="320">
        <v>-6606</v>
      </c>
      <c r="F42" s="320">
        <v>-10718</v>
      </c>
      <c r="G42" s="320">
        <v>-19056</v>
      </c>
      <c r="H42" s="320">
        <v>-16785</v>
      </c>
      <c r="I42" s="334">
        <f>'Inc. Stmt.'!I18*'Ratio Analysis'!$H$51</f>
        <v>-23881.028860200462</v>
      </c>
      <c r="J42" s="323">
        <f>'Inc. Stmt.'!J18*'Ratio Analysis'!$I$51</f>
        <v>-13118.775820127488</v>
      </c>
      <c r="K42" s="323">
        <f>'Inc. Stmt.'!K18*'Ratio Analysis'!$I$51</f>
        <v>-13362.009610846202</v>
      </c>
      <c r="L42" s="323">
        <f>'Inc. Stmt.'!L18*'Ratio Analysis'!$I$51</f>
        <v>-14432.947925919589</v>
      </c>
      <c r="M42" s="323">
        <f>'Inc. Stmt.'!M18*'Ratio Analysis'!$I$51</f>
        <v>-15496.947390015017</v>
      </c>
      <c r="N42" s="323">
        <f>'Inc. Stmt.'!N18*'Ratio Analysis'!$I$51</f>
        <v>-16464.076730177563</v>
      </c>
      <c r="O42" s="323">
        <f>'Inc. Stmt.'!O18*'Ratio Analysis'!$I$51</f>
        <v>-17554.894829699493</v>
      </c>
    </row>
    <row r="43" spans="1:15" s="154" customFormat="1" ht="16.05" customHeight="1">
      <c r="A43" s="365" t="s">
        <v>122</v>
      </c>
      <c r="B43" s="320">
        <v>0</v>
      </c>
      <c r="C43" s="320">
        <v>-527</v>
      </c>
      <c r="D43" s="320">
        <v>-1505</v>
      </c>
      <c r="E43" s="320">
        <v>-106</v>
      </c>
      <c r="F43" s="320">
        <v>0</v>
      </c>
      <c r="G43" s="320">
        <v>-1840</v>
      </c>
      <c r="H43" s="320">
        <v>-2637</v>
      </c>
      <c r="I43" s="334">
        <v>0</v>
      </c>
      <c r="J43" s="323">
        <v>0</v>
      </c>
      <c r="K43" s="323">
        <v>0</v>
      </c>
      <c r="L43" s="323">
        <v>0</v>
      </c>
      <c r="M43" s="323">
        <v>0</v>
      </c>
      <c r="N43" s="323">
        <v>0</v>
      </c>
      <c r="O43" s="323">
        <v>0</v>
      </c>
    </row>
    <row r="44" spans="1:15" s="156" customFormat="1" ht="16.05" customHeight="1" thickBot="1">
      <c r="A44" s="298" t="s">
        <v>123</v>
      </c>
      <c r="B44" s="328">
        <f t="shared" ref="B44:K44" si="6">SUM(B30:B43)</f>
        <v>71769</v>
      </c>
      <c r="C44" s="328">
        <f t="shared" si="6"/>
        <v>25862</v>
      </c>
      <c r="D44" s="328">
        <f t="shared" si="6"/>
        <v>-25851</v>
      </c>
      <c r="E44" s="328">
        <f t="shared" si="6"/>
        <v>156458</v>
      </c>
      <c r="F44" s="328">
        <f t="shared" si="6"/>
        <v>-84484</v>
      </c>
      <c r="G44" s="328">
        <f t="shared" si="6"/>
        <v>-93804</v>
      </c>
      <c r="H44" s="328">
        <f t="shared" si="6"/>
        <v>-93513</v>
      </c>
      <c r="I44" s="336">
        <f>SUM(I30:I43)</f>
        <v>-115852.61965329504</v>
      </c>
      <c r="J44" s="329">
        <f t="shared" si="6"/>
        <v>-269186.07277395029</v>
      </c>
      <c r="K44" s="329">
        <f t="shared" si="6"/>
        <v>-247112.74773759296</v>
      </c>
      <c r="L44" s="329">
        <f t="shared" ref="L44" si="7">SUM(L30:L43)</f>
        <v>-196874.52384241184</v>
      </c>
      <c r="M44" s="329">
        <f>SUM(M30:M43)</f>
        <v>-281270.49285516998</v>
      </c>
      <c r="N44" s="329">
        <f>SUM(N30:N43)</f>
        <v>-291742.15456089895</v>
      </c>
      <c r="O44" s="329">
        <f>SUM(O30:O43)</f>
        <v>-204066.90431437461</v>
      </c>
    </row>
    <row r="45" spans="1:15" s="154" customFormat="1" ht="16.05" customHeight="1" thickTop="1">
      <c r="A45" s="365" t="s">
        <v>124</v>
      </c>
      <c r="B45" s="320">
        <v>40289</v>
      </c>
      <c r="C45" s="320">
        <f t="shared" ref="C45:O45" si="8">B47</f>
        <v>41755</v>
      </c>
      <c r="D45" s="320">
        <f t="shared" si="8"/>
        <v>37685</v>
      </c>
      <c r="E45" s="320">
        <f t="shared" si="8"/>
        <v>33635</v>
      </c>
      <c r="F45" s="320">
        <f t="shared" si="8"/>
        <v>93554</v>
      </c>
      <c r="G45" s="320">
        <f t="shared" si="8"/>
        <v>93270</v>
      </c>
      <c r="H45" s="320">
        <f t="shared" si="8"/>
        <v>199459</v>
      </c>
      <c r="I45" s="334">
        <f>H47</f>
        <v>159696</v>
      </c>
      <c r="J45" s="323">
        <f t="shared" si="8"/>
        <v>242395.24540048058</v>
      </c>
      <c r="K45" s="323">
        <f t="shared" si="8"/>
        <v>282088.05347632099</v>
      </c>
      <c r="L45" s="323">
        <f t="shared" si="8"/>
        <v>198776.51763533909</v>
      </c>
      <c r="M45" s="323">
        <f t="shared" si="8"/>
        <v>140449.94068312924</v>
      </c>
      <c r="N45" s="323">
        <f t="shared" si="8"/>
        <v>155880.79429523996</v>
      </c>
      <c r="O45" s="323">
        <f t="shared" si="8"/>
        <v>122644.33043673474</v>
      </c>
    </row>
    <row r="46" spans="1:15" s="154" customFormat="1" ht="16.05" customHeight="1">
      <c r="A46" s="365" t="s">
        <v>125</v>
      </c>
      <c r="B46" s="320">
        <v>1466</v>
      </c>
      <c r="C46" s="320">
        <v>-4070</v>
      </c>
      <c r="D46" s="320">
        <v>-4050</v>
      </c>
      <c r="E46" s="320">
        <v>59919</v>
      </c>
      <c r="F46" s="320">
        <v>-284</v>
      </c>
      <c r="G46" s="320">
        <v>106189</v>
      </c>
      <c r="H46" s="320">
        <v>-39763</v>
      </c>
      <c r="I46" s="334">
        <f>I22+I28+I44</f>
        <v>82699.245400480591</v>
      </c>
      <c r="J46" s="323">
        <f t="shared" ref="J46:O46" si="9">J22+J28+J44</f>
        <v>39692.80807584041</v>
      </c>
      <c r="K46" s="323">
        <f t="shared" si="9"/>
        <v>-83311.535840981902</v>
      </c>
      <c r="L46" s="323">
        <f t="shared" si="9"/>
        <v>-58326.576952209842</v>
      </c>
      <c r="M46" s="323">
        <f t="shared" si="9"/>
        <v>15430.853612110717</v>
      </c>
      <c r="N46" s="323">
        <f t="shared" si="9"/>
        <v>-33236.463858505216</v>
      </c>
      <c r="O46" s="323">
        <f t="shared" si="9"/>
        <v>110663.97226169455</v>
      </c>
    </row>
    <row r="47" spans="1:15" s="154" customFormat="1" ht="16.05" customHeight="1" thickBot="1">
      <c r="A47" s="298" t="s">
        <v>126</v>
      </c>
      <c r="B47" s="328">
        <f>B45+B46</f>
        <v>41755</v>
      </c>
      <c r="C47" s="328">
        <f>C45+C46</f>
        <v>37685</v>
      </c>
      <c r="D47" s="328">
        <f>D45+D46</f>
        <v>33635</v>
      </c>
      <c r="E47" s="328">
        <f>E45+E46</f>
        <v>93554</v>
      </c>
      <c r="F47" s="328">
        <f>F45+F46</f>
        <v>93270</v>
      </c>
      <c r="G47" s="328">
        <f t="shared" ref="G47" si="10">G45+G46</f>
        <v>199459</v>
      </c>
      <c r="H47" s="328">
        <f>H45+H46</f>
        <v>159696</v>
      </c>
      <c r="I47" s="336">
        <f>I45+I46</f>
        <v>242395.24540048058</v>
      </c>
      <c r="J47" s="329">
        <f>J45+J46</f>
        <v>282088.05347632099</v>
      </c>
      <c r="K47" s="329">
        <f>K45+K46</f>
        <v>198776.51763533909</v>
      </c>
      <c r="L47" s="329">
        <f t="shared" ref="L47" si="11">L45+L46</f>
        <v>140449.94068312924</v>
      </c>
      <c r="M47" s="329">
        <f>M45+M46</f>
        <v>155880.79429523996</v>
      </c>
      <c r="N47" s="329">
        <f>N45+N46</f>
        <v>122644.33043673474</v>
      </c>
      <c r="O47" s="329">
        <f>O45+O46</f>
        <v>233308.3026984293</v>
      </c>
    </row>
    <row r="48" spans="1:15" s="154" customFormat="1" ht="16.05" customHeight="1" thickTop="1">
      <c r="A48" s="338"/>
      <c r="B48" s="172"/>
      <c r="C48" s="172"/>
      <c r="D48" s="172"/>
      <c r="E48" s="172"/>
      <c r="F48" s="172"/>
      <c r="G48" s="172"/>
      <c r="H48" s="172"/>
      <c r="I48" s="173"/>
      <c r="J48" s="173"/>
      <c r="K48" s="173"/>
      <c r="L48" s="173"/>
      <c r="M48" s="173"/>
      <c r="N48" s="173"/>
      <c r="O48" s="173"/>
    </row>
    <row r="49" spans="1:16" s="154" customFormat="1" ht="16.05" customHeight="1">
      <c r="A49" s="338"/>
      <c r="B49" s="157"/>
      <c r="C49" s="157"/>
      <c r="D49" s="157"/>
      <c r="E49" s="157"/>
      <c r="F49" s="157"/>
      <c r="G49" s="157"/>
      <c r="H49" s="157"/>
      <c r="I49" s="153"/>
      <c r="J49" s="153"/>
      <c r="K49" s="153"/>
      <c r="L49" s="153"/>
      <c r="M49" s="153"/>
      <c r="N49" s="153"/>
      <c r="O49" s="153"/>
    </row>
    <row r="50" spans="1:16" s="154" customFormat="1" ht="16.05" customHeight="1">
      <c r="A50" s="338"/>
      <c r="B50" s="157"/>
      <c r="C50" s="157"/>
      <c r="D50" s="157"/>
      <c r="E50" s="157"/>
      <c r="F50" s="157"/>
      <c r="G50" s="157"/>
      <c r="H50" s="157"/>
      <c r="I50" s="153"/>
      <c r="J50" s="153"/>
      <c r="K50" s="153"/>
      <c r="L50" s="153"/>
      <c r="M50" s="153"/>
      <c r="N50" s="153"/>
      <c r="O50" s="153"/>
    </row>
    <row r="51" spans="1:16" s="154" customFormat="1" ht="16.05" customHeight="1">
      <c r="A51" s="338"/>
      <c r="B51" s="157"/>
      <c r="C51" s="157"/>
      <c r="D51" s="157"/>
      <c r="E51" s="157"/>
      <c r="F51" s="157"/>
      <c r="G51" s="157"/>
      <c r="H51" s="157"/>
      <c r="I51" s="153"/>
      <c r="J51" s="153"/>
      <c r="K51" s="153"/>
      <c r="L51" s="153"/>
      <c r="M51" s="153"/>
      <c r="N51" s="153"/>
      <c r="O51" s="153"/>
    </row>
    <row r="52" spans="1:16" s="36" customFormat="1" ht="16.05" customHeight="1">
      <c r="B52" s="151"/>
      <c r="C52" s="151"/>
      <c r="D52" s="151"/>
      <c r="E52" s="151"/>
      <c r="F52" s="151"/>
      <c r="G52" s="151"/>
      <c r="H52" s="151"/>
    </row>
    <row r="53" spans="1:16" s="36" customFormat="1" ht="16.05" customHeight="1">
      <c r="H53" s="44"/>
      <c r="I53" s="44"/>
      <c r="J53" s="44"/>
      <c r="K53" s="44"/>
      <c r="L53" s="44"/>
      <c r="M53" s="44"/>
      <c r="N53" s="44"/>
      <c r="O53" s="44"/>
    </row>
    <row r="54" spans="1:16" s="36" customFormat="1" ht="16.05" customHeight="1">
      <c r="I54" s="129"/>
      <c r="J54" s="129"/>
      <c r="K54" s="129"/>
      <c r="L54" s="129"/>
      <c r="M54" s="129"/>
      <c r="N54" s="129"/>
      <c r="O54" s="129"/>
    </row>
    <row r="55" spans="1:16" s="36" customFormat="1" ht="16.05" customHeight="1">
      <c r="B55" s="151"/>
      <c r="C55" s="151"/>
      <c r="D55" s="151"/>
      <c r="E55" s="151"/>
      <c r="F55" s="151"/>
      <c r="G55" s="151"/>
      <c r="H55" s="151"/>
      <c r="I55" s="151"/>
      <c r="J55" s="151"/>
      <c r="K55" s="151"/>
      <c r="L55" s="151"/>
      <c r="M55" s="151"/>
      <c r="N55" s="151"/>
      <c r="O55" s="151"/>
    </row>
    <row r="56" spans="1:16" s="36" customFormat="1" ht="16.05" customHeight="1"/>
    <row r="57" spans="1:16" s="36" customFormat="1" ht="16.05" customHeight="1"/>
    <row r="58" spans="1:16" s="36" customFormat="1" ht="16.05" customHeight="1"/>
    <row r="59" spans="1:16" s="36" customFormat="1" ht="16.05" customHeight="1"/>
    <row r="60" spans="1:16" s="36" customFormat="1" ht="16.05" customHeight="1"/>
    <row r="61" spans="1:16" s="36" customFormat="1" ht="16.05" customHeight="1"/>
    <row r="62" spans="1:16" s="36" customFormat="1" ht="16.05" customHeight="1">
      <c r="M62" s="158"/>
      <c r="N62" s="158"/>
      <c r="O62" s="158"/>
      <c r="P62" s="158"/>
    </row>
    <row r="63" spans="1:16" s="36" customFormat="1" ht="16.05" customHeight="1">
      <c r="M63" s="158"/>
      <c r="N63" s="158"/>
      <c r="O63" s="158"/>
      <c r="P63" s="158"/>
    </row>
    <row r="64" spans="1:16" s="36" customFormat="1" ht="16.05" customHeight="1">
      <c r="M64" s="158"/>
      <c r="N64" s="158"/>
      <c r="O64" s="158"/>
      <c r="P64" s="158"/>
    </row>
    <row r="65" spans="13:16" s="36" customFormat="1" ht="16.05" customHeight="1">
      <c r="M65" s="158"/>
      <c r="N65" s="158"/>
      <c r="O65" s="158"/>
      <c r="P65" s="158"/>
    </row>
  </sheetData>
  <pageMargins left="0.25" right="0.25" top="0.75" bottom="0.75" header="0.3" footer="0.3"/>
  <pageSetup scale="3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2EC59-3F1A-4E21-A4AD-0A2567BF6D7A}">
  <dimension ref="A1:E25"/>
  <sheetViews>
    <sheetView showGridLines="0" workbookViewId="0">
      <selection activeCell="D25" sqref="D25"/>
    </sheetView>
  </sheetViews>
  <sheetFormatPr defaultColWidth="16.77734375" defaultRowHeight="16.05" customHeight="1"/>
  <cols>
    <col min="1" max="1" width="48.109375" customWidth="1"/>
    <col min="2" max="4" width="13.33203125" customWidth="1"/>
    <col min="5" max="5" width="14.21875" customWidth="1"/>
  </cols>
  <sheetData>
    <row r="1" spans="1:5" s="36" customFormat="1" ht="30" customHeight="1" thickBot="1">
      <c r="A1" s="291" t="s">
        <v>483</v>
      </c>
      <c r="B1" s="291"/>
      <c r="C1" s="291"/>
      <c r="D1" s="291"/>
      <c r="E1" s="291"/>
    </row>
    <row r="2" spans="1:5" ht="16.05" customHeight="1">
      <c r="A2" s="318" t="s">
        <v>484</v>
      </c>
      <c r="B2" s="502">
        <v>2024</v>
      </c>
      <c r="C2" s="502">
        <v>2023</v>
      </c>
      <c r="D2" s="502">
        <v>2022</v>
      </c>
      <c r="E2" s="502" t="s">
        <v>327</v>
      </c>
    </row>
    <row r="3" spans="1:5" ht="16.05" customHeight="1">
      <c r="A3" s="106" t="s">
        <v>485</v>
      </c>
      <c r="B3" s="503">
        <v>8402</v>
      </c>
      <c r="C3" s="503">
        <v>6753</v>
      </c>
      <c r="D3" s="503">
        <v>3477</v>
      </c>
      <c r="E3" s="503">
        <f>AVERAGE(B3:D3)</f>
        <v>6210.666666666667</v>
      </c>
    </row>
    <row r="4" spans="1:5" ht="16.05" customHeight="1">
      <c r="A4" s="106" t="s">
        <v>486</v>
      </c>
      <c r="B4" s="504">
        <f>B3/'Inc. Stmt.'!H5</f>
        <v>4.0029672077802969E-3</v>
      </c>
      <c r="C4" s="504">
        <f>C3/'Inc. Stmt.'!G5</f>
        <v>3.7987073257167931E-3</v>
      </c>
      <c r="D4" s="504">
        <f>D3/'Inc. Stmt.'!F5</f>
        <v>1.9780486098192451E-3</v>
      </c>
      <c r="E4" s="504">
        <f t="shared" ref="E4:E11" si="0">AVERAGE(B4:D4)</f>
        <v>3.2599077144387784E-3</v>
      </c>
    </row>
    <row r="5" spans="1:5" ht="16.05" customHeight="1">
      <c r="A5" s="106" t="s">
        <v>487</v>
      </c>
      <c r="B5" s="503">
        <v>284</v>
      </c>
      <c r="C5" s="503">
        <v>64</v>
      </c>
      <c r="D5" s="503">
        <v>966</v>
      </c>
      <c r="E5" s="503">
        <f t="shared" si="0"/>
        <v>438</v>
      </c>
    </row>
    <row r="6" spans="1:5" ht="16.05" customHeight="1">
      <c r="A6" s="106" t="s">
        <v>488</v>
      </c>
      <c r="B6" s="504">
        <f>B5/'Inc. Stmt.'!H5</f>
        <v>1.3530619935843899E-4</v>
      </c>
      <c r="C6" s="504">
        <f>C5/'Inc. Stmt.'!G5</f>
        <v>3.6001372552328556E-5</v>
      </c>
      <c r="D6" s="504">
        <f>D5/'Inc. Stmt.'!F5</f>
        <v>5.4955276303865128E-4</v>
      </c>
      <c r="E6" s="504">
        <f t="shared" si="0"/>
        <v>2.4028677831647294E-4</v>
      </c>
    </row>
    <row r="7" spans="1:5" ht="16.05" customHeight="1">
      <c r="A7" s="106" t="s">
        <v>489</v>
      </c>
      <c r="B7" s="505">
        <f>'Cash Flow Stmt.'!H9</f>
        <v>-5083</v>
      </c>
      <c r="C7" s="505">
        <f>'Cash Flow Stmt.'!G9</f>
        <v>-16742</v>
      </c>
      <c r="D7" s="505">
        <f>'Cash Flow Stmt.'!F9</f>
        <v>-25626</v>
      </c>
      <c r="E7" s="505">
        <f t="shared" si="0"/>
        <v>-15817</v>
      </c>
    </row>
    <row r="8" spans="1:5" ht="16.05" customHeight="1">
      <c r="A8" s="106" t="s">
        <v>490</v>
      </c>
      <c r="B8" s="503">
        <f>'Cash Flow Stmt.'!H12</f>
        <v>7670</v>
      </c>
      <c r="C8" s="503">
        <f>'Cash Flow Stmt.'!G12</f>
        <v>11859</v>
      </c>
      <c r="D8" s="503">
        <f>'Cash Flow Stmt.'!F12</f>
        <v>11483</v>
      </c>
      <c r="E8" s="503">
        <f t="shared" si="0"/>
        <v>10337.333333333334</v>
      </c>
    </row>
    <row r="9" spans="1:5" ht="16.05" customHeight="1">
      <c r="A9" s="106" t="s">
        <v>491</v>
      </c>
      <c r="B9" s="504">
        <f>-B8/B7</f>
        <v>1.5089514066496164</v>
      </c>
      <c r="C9" s="504">
        <f>-C8/C7</f>
        <v>0.70833831083502563</v>
      </c>
      <c r="D9" s="504">
        <f>-D8/D7</f>
        <v>0.44809958635760555</v>
      </c>
      <c r="E9" s="504">
        <f t="shared" si="0"/>
        <v>0.88846310128074923</v>
      </c>
    </row>
    <row r="10" spans="1:5" ht="16.05" customHeight="1">
      <c r="A10" s="106" t="s">
        <v>492</v>
      </c>
      <c r="B10" s="505">
        <v>-4365</v>
      </c>
      <c r="C10" s="505">
        <v>-7802</v>
      </c>
      <c r="D10" s="505">
        <v>-2012</v>
      </c>
      <c r="E10" s="505">
        <f t="shared" si="0"/>
        <v>-4726.333333333333</v>
      </c>
    </row>
    <row r="11" spans="1:5" ht="16.05" customHeight="1">
      <c r="A11" s="106" t="s">
        <v>493</v>
      </c>
      <c r="B11" s="506">
        <f>B10/'Inc. Stmt.'!H5</f>
        <v>-2.0796181697168526E-3</v>
      </c>
      <c r="C11" s="506">
        <f>C10/'Inc. Stmt.'!G5</f>
        <v>-4.3887923227073035E-3</v>
      </c>
      <c r="D11" s="506">
        <f>D10/'Inc. Stmt.'!F5</f>
        <v>-1.1446171420639404E-3</v>
      </c>
      <c r="E11" s="506">
        <f t="shared" si="0"/>
        <v>-2.5376758781626989E-3</v>
      </c>
    </row>
    <row r="12" spans="1:5" ht="16.05" customHeight="1" thickBot="1"/>
    <row r="13" spans="1:5" ht="16.05" customHeight="1">
      <c r="A13" s="318" t="s">
        <v>494</v>
      </c>
      <c r="B13" s="318"/>
      <c r="C13" s="318"/>
      <c r="D13" s="318"/>
      <c r="E13" s="318"/>
    </row>
    <row r="14" spans="1:5" ht="16.05" customHeight="1">
      <c r="A14" s="106" t="s">
        <v>5</v>
      </c>
      <c r="B14" s="503">
        <f>'Cash Flow Stmt.'!H5</f>
        <v>4879</v>
      </c>
      <c r="C14" s="503">
        <f>'Cash Flow Stmt.'!G5</f>
        <v>3545</v>
      </c>
      <c r="D14" s="503">
        <f>'Cash Flow Stmt.'!F5</f>
        <v>2367</v>
      </c>
      <c r="E14" s="503">
        <f>AVERAGE(B14:D14)</f>
        <v>3597</v>
      </c>
    </row>
    <row r="15" spans="1:5" ht="16.05" customHeight="1">
      <c r="A15" s="106" t="s">
        <v>495</v>
      </c>
      <c r="B15" s="501">
        <f>B14/'Inc. Stmt.'!H5</f>
        <v>2.32450333334445E-3</v>
      </c>
      <c r="C15" s="501">
        <f>C14/'Inc. Stmt.'!G5</f>
        <v>1.9941385265313241E-3</v>
      </c>
      <c r="D15" s="501">
        <f>D14/'Inc. Stmt.'!F5</f>
        <v>1.3465749380046456E-3</v>
      </c>
      <c r="E15" s="501">
        <f>AVERAGE(B15:D15)</f>
        <v>1.8884055992934735E-3</v>
      </c>
    </row>
    <row r="16" spans="1:5" ht="16.05" customHeight="1" thickBot="1"/>
    <row r="17" spans="1:5" ht="16.05" customHeight="1">
      <c r="A17" s="318" t="s">
        <v>496</v>
      </c>
      <c r="B17" s="318"/>
      <c r="C17" s="318"/>
      <c r="D17" s="318"/>
      <c r="E17" s="318"/>
    </row>
    <row r="18" spans="1:5" ht="16.05" customHeight="1">
      <c r="A18" t="s">
        <v>497</v>
      </c>
      <c r="B18" s="503">
        <f>'Inc. Stmt.'!H8</f>
        <v>1395422</v>
      </c>
      <c r="C18" s="503">
        <f>'Inc. Stmt.'!G8</f>
        <v>1229528</v>
      </c>
      <c r="D18" s="503">
        <f>'Inc. Stmt.'!F8</f>
        <v>1234768</v>
      </c>
      <c r="E18" s="503">
        <f t="shared" ref="E18:E19" si="1">AVERAGE(B18:D18)</f>
        <v>1286572.6666666667</v>
      </c>
    </row>
    <row r="19" spans="1:5" ht="16.05" customHeight="1">
      <c r="A19" t="s">
        <v>35</v>
      </c>
      <c r="B19" s="503">
        <f>'Bal. Sheet'!H18</f>
        <v>59746</v>
      </c>
      <c r="C19" s="503">
        <f>'Bal. Sheet'!G18</f>
        <v>54321</v>
      </c>
      <c r="D19" s="503">
        <f>'Bal. Sheet'!F18</f>
        <v>51804</v>
      </c>
      <c r="E19" s="503">
        <f t="shared" si="1"/>
        <v>55290.333333333336</v>
      </c>
    </row>
    <row r="20" spans="1:5" ht="16.05" customHeight="1">
      <c r="A20" t="s">
        <v>498</v>
      </c>
      <c r="B20" s="504">
        <f>B19/B18</f>
        <v>4.2815721695659094E-2</v>
      </c>
      <c r="C20" s="504">
        <f>C19/C18</f>
        <v>4.4180368401532943E-2</v>
      </c>
      <c r="D20" s="504">
        <f>D19/D18</f>
        <v>4.1954440024360849E-2</v>
      </c>
      <c r="E20" s="504">
        <f>AVERAGE(B20:D20)</f>
        <v>4.2983510040517627E-2</v>
      </c>
    </row>
    <row r="21" spans="1:5" ht="16.05" customHeight="1" thickBot="1">
      <c r="B21" s="501"/>
      <c r="C21" s="501"/>
      <c r="D21" s="501"/>
    </row>
    <row r="22" spans="1:5" ht="16.05" customHeight="1">
      <c r="A22" s="318" t="s">
        <v>499</v>
      </c>
      <c r="B22" s="318"/>
      <c r="C22" s="318"/>
      <c r="D22" s="318"/>
      <c r="E22" s="318"/>
    </row>
    <row r="23" spans="1:5" ht="16.05" customHeight="1">
      <c r="A23" t="s">
        <v>36</v>
      </c>
      <c r="B23" s="503">
        <f>'Bal. Sheet'!H19</f>
        <v>110068</v>
      </c>
      <c r="E23" s="106"/>
    </row>
    <row r="24" spans="1:5" ht="16.05" customHeight="1">
      <c r="A24" t="s">
        <v>500</v>
      </c>
      <c r="B24" s="503">
        <f>'Inc. Stmt.'!H10</f>
        <v>226566</v>
      </c>
      <c r="E24" s="106"/>
    </row>
    <row r="25" spans="1:5" ht="16.05" customHeight="1">
      <c r="A25" t="s">
        <v>501</v>
      </c>
      <c r="B25" s="501">
        <f>B23/B24</f>
        <v>0.48580987438538881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ABE1E-0C85-4246-910F-F4544FAD2777}">
  <sheetPr>
    <tabColor rgb="FF5DCAF5"/>
    <pageSetUpPr autoPageBreaks="0"/>
  </sheetPr>
  <dimension ref="A1:S116"/>
  <sheetViews>
    <sheetView showGridLines="0" topLeftCell="A60" zoomScaleNormal="100" workbookViewId="0">
      <selection activeCell="J116" sqref="J116"/>
    </sheetView>
  </sheetViews>
  <sheetFormatPr defaultColWidth="16.77734375" defaultRowHeight="16.05" customHeight="1" outlineLevelRow="1"/>
  <cols>
    <col min="1" max="1" width="4.44140625" customWidth="1"/>
  </cols>
  <sheetData>
    <row r="1" spans="1:15" s="14" customFormat="1" ht="30" customHeight="1">
      <c r="A1" s="291" t="s">
        <v>240</v>
      </c>
      <c r="B1" s="291"/>
      <c r="C1" s="291"/>
      <c r="D1" s="291"/>
      <c r="E1" s="291"/>
      <c r="F1" s="291"/>
      <c r="G1" s="291"/>
      <c r="H1" s="291"/>
      <c r="I1" s="291"/>
      <c r="J1" s="291"/>
      <c r="K1" s="291"/>
      <c r="L1" s="291"/>
      <c r="M1" s="291"/>
      <c r="N1" s="291"/>
      <c r="O1" s="291"/>
    </row>
    <row r="2" spans="1:15" ht="15" customHeight="1"/>
    <row r="3" spans="1:15" ht="16.05" customHeight="1" thickBot="1">
      <c r="B3" s="15" t="s">
        <v>241</v>
      </c>
      <c r="H3" s="510" t="s">
        <v>242</v>
      </c>
      <c r="I3" s="510"/>
      <c r="J3" s="510"/>
    </row>
    <row r="4" spans="1:15" ht="16.05" customHeight="1" thickBot="1">
      <c r="B4" s="16" t="s">
        <v>243</v>
      </c>
      <c r="H4" s="17" t="s">
        <v>243</v>
      </c>
      <c r="I4" s="17" t="s">
        <v>244</v>
      </c>
      <c r="J4" s="17" t="s">
        <v>245</v>
      </c>
    </row>
    <row r="5" spans="1:15" ht="16.05" customHeight="1">
      <c r="G5" s="18">
        <f>D88</f>
        <v>78.081803256013657</v>
      </c>
      <c r="H5" s="19">
        <f t="dataTable" ref="H5:J5" dt2D="0" dtr="1" r1="B4"/>
        <v>78.081803256013657</v>
      </c>
      <c r="I5" s="19">
        <v>102.38652125579024</v>
      </c>
      <c r="J5" s="19">
        <v>54.561908612318412</v>
      </c>
    </row>
    <row r="6" spans="1:15" ht="16.05" customHeight="1">
      <c r="I6" s="64"/>
      <c r="J6" s="64"/>
    </row>
    <row r="7" spans="1:15" ht="16.05" customHeight="1">
      <c r="H7" s="8"/>
    </row>
    <row r="8" spans="1:15" ht="16.05" customHeight="1" outlineLevel="1">
      <c r="C8" s="512" t="s">
        <v>246</v>
      </c>
      <c r="D8" s="512"/>
    </row>
    <row r="9" spans="1:15" ht="16.05" customHeight="1" outlineLevel="1">
      <c r="C9" s="20" t="s">
        <v>247</v>
      </c>
      <c r="D9" s="21">
        <v>4.2509999999999999E-2</v>
      </c>
      <c r="E9" s="22"/>
    </row>
    <row r="10" spans="1:15" ht="16.05" customHeight="1" outlineLevel="1">
      <c r="C10" s="20" t="s">
        <v>248</v>
      </c>
      <c r="D10" s="23">
        <v>2.02</v>
      </c>
      <c r="E10" s="22"/>
    </row>
    <row r="11" spans="1:15" ht="16.05" customHeight="1" outlineLevel="1">
      <c r="C11" s="24" t="s">
        <v>208</v>
      </c>
      <c r="D11" s="25">
        <f>'S&amp;P Returns'!D106</f>
        <v>5.084269786142559E-2</v>
      </c>
      <c r="E11" s="22"/>
    </row>
    <row r="12" spans="1:15" ht="16.05" customHeight="1" outlineLevel="1">
      <c r="C12" s="24" t="s">
        <v>249</v>
      </c>
      <c r="D12" s="25">
        <f>D9+(D10*D11)</f>
        <v>0.1452122496800797</v>
      </c>
      <c r="E12" s="22"/>
    </row>
    <row r="13" spans="1:15" ht="16.05" customHeight="1" outlineLevel="1">
      <c r="C13" s="20" t="s">
        <v>250</v>
      </c>
      <c r="D13" s="26">
        <v>70.05</v>
      </c>
      <c r="E13" s="22"/>
      <c r="H13" s="8"/>
    </row>
    <row r="14" spans="1:15" ht="16.05" customHeight="1" outlineLevel="1">
      <c r="C14" s="20" t="s">
        <v>251</v>
      </c>
      <c r="D14" s="27">
        <f>'Inc. Stmt.'!$I$25</f>
        <v>45152</v>
      </c>
      <c r="E14" s="22"/>
    </row>
    <row r="15" spans="1:15" ht="16.05" customHeight="1" outlineLevel="1">
      <c r="C15" s="24" t="s">
        <v>252</v>
      </c>
      <c r="D15" s="28">
        <f>D14*D13</f>
        <v>3162897.6</v>
      </c>
      <c r="E15" s="22"/>
    </row>
    <row r="16" spans="1:15" ht="16.05" customHeight="1" outlineLevel="1">
      <c r="C16" s="24" t="s">
        <v>253</v>
      </c>
      <c r="D16" s="25">
        <f>'Cost of Debt Calc.'!C30</f>
        <v>4.6844625933185301E-2</v>
      </c>
      <c r="E16" s="22"/>
    </row>
    <row r="17" spans="3:19" ht="16.05" customHeight="1" outlineLevel="1">
      <c r="C17" s="24" t="s">
        <v>254</v>
      </c>
      <c r="D17" s="25">
        <f>D16*(1-'Tax Rate Calc.'!B8)</f>
        <v>3.6052182172764007E-2</v>
      </c>
      <c r="E17" s="22"/>
      <c r="F17" s="134"/>
    </row>
    <row r="18" spans="3:19" ht="16.05" customHeight="1" outlineLevel="1">
      <c r="C18" s="24" t="s">
        <v>255</v>
      </c>
      <c r="D18" s="28">
        <f>'Bal. Sheet'!$I$22+'Bal. Sheet'!$I$25+'Bal. Sheet'!$I$23+'Bal. Sheet'!$I$21</f>
        <v>383898.90950000001</v>
      </c>
      <c r="E18" s="29"/>
    </row>
    <row r="19" spans="3:19" ht="16.05" customHeight="1" outlineLevel="1">
      <c r="C19" s="30" t="s">
        <v>256</v>
      </c>
      <c r="D19" s="26">
        <v>22.22</v>
      </c>
      <c r="E19" s="22"/>
    </row>
    <row r="20" spans="3:19" ht="16.05" customHeight="1" outlineLevel="1">
      <c r="C20" s="20" t="s">
        <v>257</v>
      </c>
      <c r="D20" s="27">
        <f>2000</f>
        <v>2000</v>
      </c>
      <c r="E20" s="22"/>
      <c r="F20" s="31"/>
    </row>
    <row r="21" spans="3:19" ht="16.05" customHeight="1" outlineLevel="1">
      <c r="C21" s="24" t="s">
        <v>258</v>
      </c>
      <c r="D21" s="28">
        <f>D19*D20</f>
        <v>44440</v>
      </c>
      <c r="E21" s="22"/>
    </row>
    <row r="22" spans="3:19" ht="16.05" customHeight="1" outlineLevel="1">
      <c r="C22" s="24" t="s">
        <v>259</v>
      </c>
      <c r="D22" s="32">
        <f>(5.75%*25)/D19</f>
        <v>6.4693969396939693E-2</v>
      </c>
      <c r="E22" s="22"/>
    </row>
    <row r="23" spans="3:19" ht="16.05" customHeight="1" outlineLevel="1">
      <c r="C23" s="24" t="s">
        <v>260</v>
      </c>
      <c r="D23" s="28">
        <f>D15+D18+D21</f>
        <v>3591236.5095000002</v>
      </c>
      <c r="E23" s="22"/>
    </row>
    <row r="24" spans="3:19" ht="16.05" customHeight="1">
      <c r="E24" s="22"/>
    </row>
    <row r="25" spans="3:19" ht="16.05" customHeight="1" outlineLevel="1" thickBot="1">
      <c r="C25" s="516" t="s">
        <v>261</v>
      </c>
      <c r="D25" s="516"/>
      <c r="E25" s="516"/>
      <c r="F25" s="516"/>
      <c r="G25" s="516"/>
      <c r="H25" s="516"/>
      <c r="I25" s="516"/>
      <c r="J25" s="516"/>
    </row>
    <row r="26" spans="3:19" ht="16.05" customHeight="1" outlineLevel="1" thickBot="1">
      <c r="C26" s="33"/>
      <c r="D26" s="34">
        <v>45658</v>
      </c>
      <c r="E26" s="35">
        <f t="shared" ref="E26:J26" si="0">EDATE(D26,12)</f>
        <v>46023</v>
      </c>
      <c r="F26" s="35">
        <f t="shared" si="0"/>
        <v>46388</v>
      </c>
      <c r="G26" s="35">
        <f t="shared" si="0"/>
        <v>46753</v>
      </c>
      <c r="H26" s="35">
        <f t="shared" si="0"/>
        <v>47119</v>
      </c>
      <c r="I26" s="35">
        <f t="shared" si="0"/>
        <v>47484</v>
      </c>
      <c r="J26" s="35">
        <f t="shared" si="0"/>
        <v>47849</v>
      </c>
      <c r="K26" s="89" t="s">
        <v>262</v>
      </c>
      <c r="M26" s="15"/>
      <c r="N26" s="15"/>
      <c r="O26" s="15"/>
      <c r="P26" s="15"/>
      <c r="Q26" s="15"/>
      <c r="R26" s="15"/>
      <c r="S26" s="15"/>
    </row>
    <row r="27" spans="3:19" ht="16.05" customHeight="1" outlineLevel="1">
      <c r="C27" s="36" t="s">
        <v>66</v>
      </c>
      <c r="D27" s="37"/>
      <c r="E27" s="38">
        <f>('Inc. Stmt.'!J5-'Inc. Stmt.'!I5)/'Inc. Stmt.'!I5 +K27</f>
        <v>6.1669829222010487E-3</v>
      </c>
      <c r="F27" s="38">
        <f>('Inc. Stmt.'!K5-'Inc. Stmt.'!J5)/'Inc. Stmt.'!J5+K27</f>
        <v>1.8540890861594952E-2</v>
      </c>
      <c r="G27" s="38">
        <f>('Inc. Stmt.'!L5-'Inc. Stmt.'!K5)/'Inc. Stmt.'!K5+K27</f>
        <v>8.0147997663770912E-2</v>
      </c>
      <c r="H27" s="38">
        <f>('Inc. Stmt.'!M5-'Inc. Stmt.'!L5)/'Inc. Stmt.'!L5+K27</f>
        <v>7.3720176193848255E-2</v>
      </c>
      <c r="I27" s="38">
        <f>('Inc. Stmt.'!N5-'Inc. Stmt.'!M5)/'Inc. Stmt.'!M5+K27</f>
        <v>6.2407732040549044E-2</v>
      </c>
      <c r="J27" s="38">
        <f>('Inc. Stmt.'!O5-'Inc. Stmt.'!N5)/'Inc. Stmt.'!N5</f>
        <v>6.6254434876541562E-2</v>
      </c>
      <c r="K27" s="113">
        <v>0</v>
      </c>
    </row>
    <row r="28" spans="3:19" ht="16.05" customHeight="1" outlineLevel="1">
      <c r="C28" s="36" t="s">
        <v>72</v>
      </c>
      <c r="D28" s="39">
        <f>'Common Inc. Stmt.'!$J$9</f>
        <v>0.316</v>
      </c>
      <c r="E28" s="40">
        <f>'Inc. Stmt.'!J42+K28</f>
        <v>0.3</v>
      </c>
      <c r="F28" s="40">
        <f>'Inc. Stmt.'!K42+K28</f>
        <v>0.28999999999999998</v>
      </c>
      <c r="G28" s="40">
        <f>'Inc. Stmt.'!L42+K28</f>
        <v>0.28000000000000003</v>
      </c>
      <c r="H28" s="40">
        <f>'Inc. Stmt.'!M42+K28</f>
        <v>0.27226248571889383</v>
      </c>
      <c r="I28" s="40">
        <f>'Inc. Stmt.'!N42+K28</f>
        <v>0.27226248571889383</v>
      </c>
      <c r="J28" s="40">
        <f>'Inc. Stmt.'!O42+K28</f>
        <v>0.27226248571889383</v>
      </c>
      <c r="K28" s="12">
        <v>0</v>
      </c>
    </row>
    <row r="29" spans="3:19" ht="16.05" customHeight="1" outlineLevel="1">
      <c r="C29" s="36" t="s">
        <v>145</v>
      </c>
      <c r="D29" s="37">
        <f>('Inc. Stmt.'!$I$9-'Inc. Stmt.'!$I$10)/'Inc. Stmt.'!$I$5</f>
        <v>0.2079</v>
      </c>
      <c r="E29" s="38">
        <f>('Inc. Stmt.'!J9-'Inc. Stmt.'!J10)/'Inc. Stmt.'!J5+K29</f>
        <v>0.20338625286238801</v>
      </c>
      <c r="F29" s="38">
        <f>('Inc. Stmt.'!K9-'Inc. Stmt.'!K10)/'Inc. Stmt.'!K5+K29</f>
        <v>0.196606711100308</v>
      </c>
      <c r="G29" s="38">
        <f>('Inc. Stmt.'!L9-'Inc. Stmt.'!L10)/'Inc. Stmt.'!L5+K29</f>
        <v>0.18982716933822899</v>
      </c>
      <c r="H29" s="38">
        <f>('Inc. Stmt.'!M9-'Inc. Stmt.'!M10)/'Inc. Stmt.'!M5+K29</f>
        <v>0.18475608031017901</v>
      </c>
      <c r="I29" s="38">
        <f>('Inc. Stmt.'!N9-'Inc. Stmt.'!N10)/'Inc. Stmt.'!N5+K29</f>
        <v>0.18475608031017901</v>
      </c>
      <c r="J29" s="38">
        <f>('Inc. Stmt.'!O9-'Inc. Stmt.'!O10)/'Inc. Stmt.'!O5+K29</f>
        <v>0.18475608031017901</v>
      </c>
      <c r="K29" s="12">
        <v>0</v>
      </c>
    </row>
    <row r="30" spans="3:19" ht="16.05" customHeight="1" outlineLevel="1">
      <c r="C30" s="36" t="s">
        <v>263</v>
      </c>
      <c r="D30" s="39">
        <f>'Tax Rate Calc.'!$B$8</f>
        <v>0.23038808711621708</v>
      </c>
      <c r="E30" s="40">
        <f>'Tax Rate Calc.'!$B$8+$K30</f>
        <v>0.23038808711621708</v>
      </c>
      <c r="F30" s="40">
        <f>'Tax Rate Calc.'!$B$8+$K30</f>
        <v>0.23038808711621708</v>
      </c>
      <c r="G30" s="40">
        <f>'Tax Rate Calc.'!$B$8+$K30</f>
        <v>0.23038808711621708</v>
      </c>
      <c r="H30" s="40">
        <f>'Tax Rate Calc.'!$B$8+$K30</f>
        <v>0.23038808711621708</v>
      </c>
      <c r="I30" s="40">
        <f>'Tax Rate Calc.'!$B$8+$K30</f>
        <v>0.23038808711621708</v>
      </c>
      <c r="J30" s="40">
        <f>'Tax Rate Calc.'!$B$8+$K30</f>
        <v>0.23038808711621708</v>
      </c>
      <c r="K30" s="12">
        <v>0</v>
      </c>
      <c r="P30" s="8"/>
      <c r="Q30" s="8"/>
      <c r="R30" s="8"/>
    </row>
    <row r="31" spans="3:19" ht="16.05" customHeight="1" outlineLevel="1">
      <c r="C31" s="41" t="s">
        <v>264</v>
      </c>
      <c r="D31" s="42">
        <f>(('DCF Model'!$D$15/'DCF Model'!$D$23)*'DCF Model'!$D$12+('DCF Model'!$D$18/'DCF Model'!$D$23)*'DCF Model'!$D$17+('DCF Model'!$D$21/'DCF Model'!$D$23)*'DCF Model'!$D$22)+K31</f>
        <v>0.13254678943192683</v>
      </c>
      <c r="E31" s="32"/>
      <c r="F31" s="32"/>
      <c r="G31" s="32"/>
      <c r="H31" s="32"/>
      <c r="I31" s="32"/>
      <c r="J31" s="32"/>
      <c r="K31" s="12">
        <v>0</v>
      </c>
    </row>
    <row r="32" spans="3:19" ht="16.05" customHeight="1" outlineLevel="1">
      <c r="C32" s="41" t="s">
        <v>265</v>
      </c>
      <c r="D32" s="43"/>
      <c r="E32" s="32"/>
      <c r="F32" s="32"/>
      <c r="G32" s="32"/>
      <c r="H32" s="32"/>
      <c r="I32" s="21"/>
      <c r="J32" s="32">
        <f>($D$18/$D$23)*$D$17+($D$21/$D$23)*$D$22+($D$15/$D$23)*($D$9+1.25*$D$11)+K32</f>
        <v>9.8067330923447937E-2</v>
      </c>
      <c r="K32" s="12">
        <v>0</v>
      </c>
    </row>
    <row r="33" spans="3:12" ht="16.05" customHeight="1" outlineLevel="1">
      <c r="C33" s="36" t="s">
        <v>266</v>
      </c>
      <c r="D33" s="44"/>
      <c r="E33" s="21"/>
      <c r="F33" s="21"/>
      <c r="G33" s="21"/>
      <c r="H33" s="21"/>
      <c r="I33" s="21"/>
      <c r="J33" s="21">
        <f>3%+K33</f>
        <v>0.03</v>
      </c>
      <c r="K33" s="12">
        <v>0</v>
      </c>
    </row>
    <row r="34" spans="3:12" ht="16.05" customHeight="1">
      <c r="C34" s="36"/>
      <c r="F34" s="36"/>
      <c r="G34" s="36"/>
      <c r="H34" s="36"/>
      <c r="I34" s="36"/>
      <c r="J34" s="36"/>
      <c r="K34" s="12"/>
    </row>
    <row r="35" spans="3:12" ht="16.05" customHeight="1" outlineLevel="1" thickBot="1">
      <c r="C35" s="516" t="s">
        <v>267</v>
      </c>
      <c r="D35" s="516"/>
      <c r="E35" s="516"/>
      <c r="F35" s="516"/>
      <c r="G35" s="516"/>
      <c r="H35" s="516"/>
      <c r="I35" s="516"/>
      <c r="J35" s="516"/>
      <c r="K35" s="12"/>
    </row>
    <row r="36" spans="3:12" ht="16.05" customHeight="1" outlineLevel="1" thickBot="1">
      <c r="C36" s="33"/>
      <c r="D36" s="34">
        <v>45658</v>
      </c>
      <c r="E36" s="45">
        <f t="shared" ref="E36:J36" si="1">EDATE(D36,12)</f>
        <v>46023</v>
      </c>
      <c r="F36" s="45">
        <f t="shared" si="1"/>
        <v>46388</v>
      </c>
      <c r="G36" s="45">
        <f t="shared" si="1"/>
        <v>46753</v>
      </c>
      <c r="H36" s="45">
        <f t="shared" si="1"/>
        <v>47119</v>
      </c>
      <c r="I36" s="45">
        <f t="shared" si="1"/>
        <v>47484</v>
      </c>
      <c r="J36" s="45">
        <f t="shared" si="1"/>
        <v>47849</v>
      </c>
      <c r="K36" s="114" t="s">
        <v>262</v>
      </c>
    </row>
    <row r="37" spans="3:12" ht="16.05" customHeight="1" outlineLevel="1">
      <c r="C37" s="36" t="s">
        <v>66</v>
      </c>
      <c r="D37" s="37"/>
      <c r="E37" s="46">
        <f t="shared" ref="E37:I40" si="2">E27+$K37</f>
        <v>4.6166982922201047E-2</v>
      </c>
      <c r="F37" s="46">
        <f t="shared" si="2"/>
        <v>5.8540890861594953E-2</v>
      </c>
      <c r="G37" s="46">
        <f t="shared" si="2"/>
        <v>0.12014799766377091</v>
      </c>
      <c r="H37" s="46">
        <f t="shared" si="2"/>
        <v>0.11372017619384825</v>
      </c>
      <c r="I37" s="46">
        <f t="shared" si="2"/>
        <v>0.10240773204054904</v>
      </c>
      <c r="J37" s="46">
        <f>J27</f>
        <v>6.6254434876541562E-2</v>
      </c>
      <c r="K37" s="12">
        <v>0.04</v>
      </c>
    </row>
    <row r="38" spans="3:12" ht="16.05" customHeight="1" outlineLevel="1">
      <c r="C38" s="36" t="s">
        <v>72</v>
      </c>
      <c r="D38" s="39">
        <f>D28</f>
        <v>0.316</v>
      </c>
      <c r="E38" s="46">
        <f t="shared" si="2"/>
        <v>0.32</v>
      </c>
      <c r="F38" s="46">
        <f t="shared" si="2"/>
        <v>0.31</v>
      </c>
      <c r="G38" s="46">
        <f t="shared" si="2"/>
        <v>0.30000000000000004</v>
      </c>
      <c r="H38" s="46">
        <f t="shared" si="2"/>
        <v>0.29226248571889385</v>
      </c>
      <c r="I38" s="46">
        <f t="shared" si="2"/>
        <v>0.29226248571889385</v>
      </c>
      <c r="J38" s="46">
        <f>J28+$K38</f>
        <v>0.29226248571889385</v>
      </c>
      <c r="K38" s="12">
        <v>0.02</v>
      </c>
    </row>
    <row r="39" spans="3:12" ht="16.05" customHeight="1" outlineLevel="1">
      <c r="C39" s="36" t="s">
        <v>145</v>
      </c>
      <c r="D39" s="111">
        <f>D29</f>
        <v>0.2079</v>
      </c>
      <c r="E39" s="46">
        <f t="shared" si="2"/>
        <v>0.21338625286238802</v>
      </c>
      <c r="F39" s="46">
        <f t="shared" si="2"/>
        <v>0.20660671110030801</v>
      </c>
      <c r="G39" s="46">
        <f t="shared" si="2"/>
        <v>0.199827169338229</v>
      </c>
      <c r="H39" s="46">
        <f t="shared" si="2"/>
        <v>0.19475608031017902</v>
      </c>
      <c r="I39" s="46">
        <f t="shared" si="2"/>
        <v>0.19475608031017902</v>
      </c>
      <c r="J39" s="46">
        <f>J29+$K39</f>
        <v>0.19475608031017902</v>
      </c>
      <c r="K39" s="12">
        <v>0.01</v>
      </c>
    </row>
    <row r="40" spans="3:12" ht="16.05" customHeight="1" outlineLevel="1">
      <c r="C40" s="36" t="s">
        <v>263</v>
      </c>
      <c r="D40" s="39">
        <f>D30</f>
        <v>0.23038808711621708</v>
      </c>
      <c r="E40" s="46">
        <f t="shared" si="2"/>
        <v>0.23038808711621708</v>
      </c>
      <c r="F40" s="46">
        <f t="shared" si="2"/>
        <v>0.23038808711621708</v>
      </c>
      <c r="G40" s="46">
        <f t="shared" si="2"/>
        <v>0.23038808711621708</v>
      </c>
      <c r="H40" s="46">
        <f t="shared" si="2"/>
        <v>0.23038808711621708</v>
      </c>
      <c r="I40" s="46">
        <f t="shared" si="2"/>
        <v>0.23038808711621708</v>
      </c>
      <c r="J40" s="46">
        <f>J30+$K40</f>
        <v>0.23038808711621708</v>
      </c>
      <c r="K40" s="12">
        <v>0</v>
      </c>
    </row>
    <row r="41" spans="3:12" ht="16.05" customHeight="1" outlineLevel="1">
      <c r="C41" s="41" t="s">
        <v>264</v>
      </c>
      <c r="D41" s="112">
        <f>D31</f>
        <v>0.13254678943192683</v>
      </c>
      <c r="E41" s="47"/>
      <c r="F41" s="47"/>
      <c r="G41" s="47"/>
      <c r="H41" s="47"/>
      <c r="I41" s="47"/>
      <c r="J41" s="47"/>
      <c r="K41" s="12">
        <v>0</v>
      </c>
    </row>
    <row r="42" spans="3:12" ht="16.05" customHeight="1" outlineLevel="1">
      <c r="C42" s="41" t="s">
        <v>265</v>
      </c>
      <c r="D42" s="43"/>
      <c r="E42" s="47"/>
      <c r="F42" s="47"/>
      <c r="G42" s="47"/>
      <c r="H42" s="47"/>
      <c r="I42" s="47"/>
      <c r="J42" s="47">
        <f>J32+K42</f>
        <v>9.8067330923447937E-2</v>
      </c>
      <c r="K42" s="12">
        <v>0</v>
      </c>
    </row>
    <row r="43" spans="3:12" ht="16.05" customHeight="1" outlineLevel="1">
      <c r="C43" s="36" t="s">
        <v>266</v>
      </c>
      <c r="D43" s="44"/>
      <c r="E43" s="48"/>
      <c r="F43" s="48"/>
      <c r="G43" s="48"/>
      <c r="H43" s="48"/>
      <c r="I43" s="47"/>
      <c r="J43" s="48">
        <f>J33+K43</f>
        <v>3.4999999999999996E-2</v>
      </c>
      <c r="K43" s="12">
        <v>5.0000000000000001E-3</v>
      </c>
    </row>
    <row r="44" spans="3:12" ht="16.05" customHeight="1">
      <c r="K44" s="12"/>
      <c r="L44" s="12"/>
    </row>
    <row r="45" spans="3:12" ht="16.05" customHeight="1" outlineLevel="1" thickBot="1">
      <c r="C45" s="515" t="s">
        <v>268</v>
      </c>
      <c r="D45" s="515"/>
      <c r="E45" s="515"/>
      <c r="F45" s="515"/>
      <c r="G45" s="515"/>
      <c r="H45" s="515"/>
      <c r="I45" s="515"/>
      <c r="J45" s="515"/>
      <c r="K45" s="12"/>
      <c r="L45" s="12"/>
    </row>
    <row r="46" spans="3:12" ht="16.05" customHeight="1" outlineLevel="1" thickBot="1">
      <c r="C46" s="33"/>
      <c r="D46" s="34">
        <v>45658</v>
      </c>
      <c r="E46" s="49">
        <f t="shared" ref="E46:J46" si="3">EDATE(D46,12)</f>
        <v>46023</v>
      </c>
      <c r="F46" s="49">
        <f t="shared" si="3"/>
        <v>46388</v>
      </c>
      <c r="G46" s="49">
        <f t="shared" si="3"/>
        <v>46753</v>
      </c>
      <c r="H46" s="49">
        <f t="shared" si="3"/>
        <v>47119</v>
      </c>
      <c r="I46" s="49">
        <f t="shared" si="3"/>
        <v>47484</v>
      </c>
      <c r="J46" s="49">
        <f t="shared" si="3"/>
        <v>47849</v>
      </c>
      <c r="K46" s="114" t="s">
        <v>262</v>
      </c>
    </row>
    <row r="47" spans="3:12" ht="16.05" customHeight="1" outlineLevel="1">
      <c r="C47" s="36" t="s">
        <v>66</v>
      </c>
      <c r="D47" s="37"/>
      <c r="E47" s="50">
        <f t="shared" ref="E47:I50" si="4">E27+$K47</f>
        <v>-2.3833017077798949E-2</v>
      </c>
      <c r="F47" s="50">
        <f t="shared" si="4"/>
        <v>-1.1459109138405046E-2</v>
      </c>
      <c r="G47" s="50">
        <f t="shared" si="4"/>
        <v>5.0147997663770913E-2</v>
      </c>
      <c r="H47" s="50">
        <f t="shared" si="4"/>
        <v>4.3720176193848256E-2</v>
      </c>
      <c r="I47" s="50">
        <f t="shared" si="4"/>
        <v>3.2407732040549045E-2</v>
      </c>
      <c r="J47" s="50">
        <f>J27</f>
        <v>6.6254434876541562E-2</v>
      </c>
      <c r="K47" s="12">
        <v>-0.03</v>
      </c>
    </row>
    <row r="48" spans="3:12" ht="16.05" customHeight="1" outlineLevel="1">
      <c r="C48" s="36" t="s">
        <v>72</v>
      </c>
      <c r="D48" s="39">
        <f>D28</f>
        <v>0.316</v>
      </c>
      <c r="E48" s="50">
        <f t="shared" si="4"/>
        <v>0.24</v>
      </c>
      <c r="F48" s="50">
        <f t="shared" si="4"/>
        <v>0.22999999999999998</v>
      </c>
      <c r="G48" s="50">
        <f t="shared" si="4"/>
        <v>0.22000000000000003</v>
      </c>
      <c r="H48" s="50">
        <f t="shared" si="4"/>
        <v>0.21226248571889383</v>
      </c>
      <c r="I48" s="50">
        <f t="shared" si="4"/>
        <v>0.21226248571889383</v>
      </c>
      <c r="J48" s="50">
        <f>J28+$K48</f>
        <v>0.21226248571889383</v>
      </c>
      <c r="K48" s="12">
        <v>-0.06</v>
      </c>
    </row>
    <row r="49" spans="2:19" ht="16.05" customHeight="1" outlineLevel="1">
      <c r="C49" s="36" t="s">
        <v>145</v>
      </c>
      <c r="D49" s="111">
        <f>D29</f>
        <v>0.2079</v>
      </c>
      <c r="E49" s="50">
        <f t="shared" si="4"/>
        <v>0.17338625286238801</v>
      </c>
      <c r="F49" s="50">
        <f t="shared" si="4"/>
        <v>0.166606711100308</v>
      </c>
      <c r="G49" s="50">
        <f t="shared" si="4"/>
        <v>0.15982716933822899</v>
      </c>
      <c r="H49" s="50">
        <f t="shared" si="4"/>
        <v>0.15475608031017901</v>
      </c>
      <c r="I49" s="50">
        <f t="shared" si="4"/>
        <v>0.15475608031017901</v>
      </c>
      <c r="J49" s="50">
        <f>J29+$K49</f>
        <v>0.15475608031017901</v>
      </c>
      <c r="K49" s="12">
        <v>-0.03</v>
      </c>
    </row>
    <row r="50" spans="2:19" ht="16.05" customHeight="1" outlineLevel="1">
      <c r="C50" s="36" t="s">
        <v>263</v>
      </c>
      <c r="D50" s="39">
        <f>D30</f>
        <v>0.23038808711621708</v>
      </c>
      <c r="E50" s="50">
        <f t="shared" si="4"/>
        <v>0.23038808711621708</v>
      </c>
      <c r="F50" s="50">
        <f t="shared" si="4"/>
        <v>0.23038808711621708</v>
      </c>
      <c r="G50" s="50">
        <f t="shared" si="4"/>
        <v>0.23038808711621708</v>
      </c>
      <c r="H50" s="50">
        <f t="shared" si="4"/>
        <v>0.23038808711621708</v>
      </c>
      <c r="I50" s="50">
        <f t="shared" si="4"/>
        <v>0.23038808711621708</v>
      </c>
      <c r="J50" s="50">
        <f>J30+$K50</f>
        <v>0.23038808711621708</v>
      </c>
      <c r="K50" s="12">
        <v>0</v>
      </c>
    </row>
    <row r="51" spans="2:19" ht="16.05" customHeight="1" outlineLevel="1">
      <c r="C51" s="41" t="s">
        <v>264</v>
      </c>
      <c r="D51" s="112">
        <f>D31</f>
        <v>0.13254678943192683</v>
      </c>
      <c r="E51" s="51"/>
      <c r="F51" s="51"/>
      <c r="G51" s="51"/>
      <c r="H51" s="51"/>
      <c r="I51" s="51"/>
      <c r="J51" s="51"/>
      <c r="K51" s="12">
        <v>0</v>
      </c>
    </row>
    <row r="52" spans="2:19" ht="16.05" customHeight="1" outlineLevel="1">
      <c r="C52" s="41" t="s">
        <v>265</v>
      </c>
      <c r="D52" s="43"/>
      <c r="E52" s="51"/>
      <c r="F52" s="51"/>
      <c r="G52" s="51"/>
      <c r="H52" s="51"/>
      <c r="I52" s="51"/>
      <c r="J52" s="51">
        <f>J32+K52</f>
        <v>9.8067330923447937E-2</v>
      </c>
      <c r="K52" s="12">
        <v>0</v>
      </c>
    </row>
    <row r="53" spans="2:19" ht="16.05" customHeight="1" outlineLevel="1">
      <c r="C53" s="36" t="s">
        <v>266</v>
      </c>
      <c r="D53" s="44"/>
      <c r="E53" s="52"/>
      <c r="F53" s="52"/>
      <c r="G53" s="52"/>
      <c r="H53" s="52"/>
      <c r="I53" s="51"/>
      <c r="J53" s="52">
        <f>J33+K53</f>
        <v>2.4999999999999998E-2</v>
      </c>
      <c r="K53" s="12">
        <v>-5.0000000000000001E-3</v>
      </c>
    </row>
    <row r="54" spans="2:19" ht="16.05" customHeight="1">
      <c r="D54" s="53"/>
    </row>
    <row r="55" spans="2:19" ht="16.05" customHeight="1" outlineLevel="1" thickBot="1">
      <c r="C55" s="517" t="s">
        <v>269</v>
      </c>
      <c r="D55" s="517"/>
      <c r="E55" s="517"/>
      <c r="F55" s="517"/>
      <c r="G55" s="517"/>
      <c r="H55" s="517"/>
      <c r="I55" s="517"/>
      <c r="J55" s="517"/>
    </row>
    <row r="56" spans="2:19" ht="16.05" customHeight="1" outlineLevel="1" thickBot="1">
      <c r="C56" s="33"/>
      <c r="D56" s="34">
        <v>45658</v>
      </c>
      <c r="E56" s="35">
        <f t="shared" ref="E56:J56" si="5">EDATE(D56,12)</f>
        <v>46023</v>
      </c>
      <c r="F56" s="35">
        <f t="shared" si="5"/>
        <v>46388</v>
      </c>
      <c r="G56" s="35">
        <f t="shared" si="5"/>
        <v>46753</v>
      </c>
      <c r="H56" s="35">
        <f t="shared" si="5"/>
        <v>47119</v>
      </c>
      <c r="I56" s="35">
        <f t="shared" si="5"/>
        <v>47484</v>
      </c>
      <c r="J56" s="35">
        <f t="shared" si="5"/>
        <v>47849</v>
      </c>
      <c r="M56" s="15"/>
      <c r="N56" s="15"/>
      <c r="O56" s="15"/>
      <c r="P56" s="15"/>
      <c r="Q56" s="15"/>
      <c r="R56" s="15"/>
      <c r="S56" s="15"/>
    </row>
    <row r="57" spans="2:19" ht="16.05" customHeight="1" outlineLevel="1">
      <c r="C57" t="s">
        <v>22</v>
      </c>
      <c r="D57" s="107" cm="1">
        <f t="array" ref="D57:D59">'Bal. Sheet'!I5:I7</f>
        <v>11832.574079986603</v>
      </c>
      <c r="E57" s="108">
        <f>E66*'Common Bal. Sheet'!C5</f>
        <v>16352.805267362786</v>
      </c>
      <c r="F57" s="108">
        <f>F66*'Common Bal. Sheet'!D5</f>
        <v>12790.516528945127</v>
      </c>
      <c r="G57" s="108">
        <f>G66*'Common Bal. Sheet'!E5</f>
        <v>12402.580592858385</v>
      </c>
      <c r="H57" s="108">
        <f>H66*'Common Bal. Sheet'!F5</f>
        <v>12185.962254040229</v>
      </c>
      <c r="I57" s="108">
        <f>I66*'Common Bal. Sheet'!G5</f>
        <v>7951.9584857476211</v>
      </c>
      <c r="J57" s="108">
        <f>J66*'Common Bal. Sheet'!H5</f>
        <v>16856.417965628891</v>
      </c>
      <c r="M57" s="7"/>
      <c r="N57" s="7"/>
      <c r="O57" s="7"/>
      <c r="P57" s="7"/>
      <c r="Q57" s="7"/>
      <c r="R57" s="7"/>
      <c r="S57" s="7"/>
    </row>
    <row r="58" spans="2:19" ht="16.05" customHeight="1" outlineLevel="1">
      <c r="C58" t="s">
        <v>23</v>
      </c>
      <c r="D58" s="107">
        <v>2124247</v>
      </c>
      <c r="E58" s="108">
        <f>ROUND((E66-(IF($B$4="Base",E66*E28,IF($B$4="Best",E66*E38, E66*E48 ))))/'Ratio Analysis'!K40,0)</f>
        <v>2136758</v>
      </c>
      <c r="F58" s="108">
        <f>ROUND((F66-(IF($B$4="Base",F66*F28,IF($B$4="Best",F66*F38, F66*F48 ))))/'Ratio Analysis'!L40,0)</f>
        <v>2307805</v>
      </c>
      <c r="G58" s="108">
        <f>ROUND((G66-(IF($B$4="Base",G66*G28,IF($B$4="Best",G66*G38, G66*G48 ))))/'Ratio Analysis'!M40,0)</f>
        <v>2527881</v>
      </c>
      <c r="H58" s="108">
        <f>ROUND((H66-(IF($B$4="Base",H66*H28,IF($B$4="Best",H66*H38, H66*H48 ))))/'Ratio Analysis'!N40,0)</f>
        <v>2605248</v>
      </c>
      <c r="I58" s="108">
        <f>ROUND((I66-(IF($B$4="Base",I66*I28,IF($B$4="Best",I66*I38, I66*I48 ))))/'Ratio Analysis'!O40,0)</f>
        <v>2748066</v>
      </c>
      <c r="J58" s="108">
        <f>ROUND((J66-(IF($B$4="Base",J66*J28,IF($B$4="Best",J66*J38, J66*J48 ))))/'Ratio Analysis'!P40,0)</f>
        <v>2848745</v>
      </c>
      <c r="K58" s="64"/>
      <c r="L58" s="12"/>
      <c r="M58" s="7"/>
      <c r="N58" s="7"/>
      <c r="O58" s="7"/>
      <c r="P58" s="7"/>
      <c r="Q58" s="7"/>
      <c r="R58" s="7"/>
      <c r="S58" s="7"/>
    </row>
    <row r="59" spans="2:19" ht="16.05" customHeight="1" outlineLevel="1">
      <c r="C59" t="s">
        <v>24</v>
      </c>
      <c r="D59" s="107">
        <v>13855.337939431914</v>
      </c>
      <c r="E59" s="108">
        <f>D59*(1+'Common Bal. Sheet'!$B$7)</f>
        <v>14085.434691896793</v>
      </c>
      <c r="F59" s="108">
        <f>E59*(1+'Common Bal. Sheet'!$B$7)</f>
        <v>14319.352680316098</v>
      </c>
      <c r="G59" s="108">
        <f>F59*(1+'Common Bal. Sheet'!$B$7)</f>
        <v>14557.155364273953</v>
      </c>
      <c r="H59" s="108">
        <f>G59*(1+'Common Bal. Sheet'!$B$7)</f>
        <v>14798.907257233084</v>
      </c>
      <c r="I59" s="108">
        <f>H59*(1+'Common Bal. Sheet'!$B$7)</f>
        <v>15044.673944036675</v>
      </c>
      <c r="J59" s="108">
        <f>I59*(1+'Common Bal. Sheet'!$B$7)</f>
        <v>15294.522098700865</v>
      </c>
      <c r="M59" s="7"/>
      <c r="N59" s="7"/>
      <c r="O59" s="7"/>
      <c r="P59" s="7"/>
      <c r="Q59" s="7"/>
      <c r="R59" s="7"/>
      <c r="S59" s="7"/>
    </row>
    <row r="60" spans="2:19" ht="16.05" customHeight="1" outlineLevel="1">
      <c r="C60" t="s">
        <v>35</v>
      </c>
      <c r="D60" s="107" cm="1">
        <f t="array" ref="D60:D62">'Bal. Sheet'!I18:I20</f>
        <v>61545.206679001843</v>
      </c>
      <c r="E60" s="108">
        <f>((E66-(E66*'Inc. Stmt.'!J42))*'random calculations'!$E$20)</f>
        <v>63373.287196307319</v>
      </c>
      <c r="F60" s="108">
        <f>((F66-(F66*'Inc. Stmt.'!K42))*'random calculations'!$E$20)</f>
        <v>65470.402746293919</v>
      </c>
      <c r="G60" s="108">
        <f>((G66-(G66*'Inc. Stmt.'!L42))*'random calculations'!$E$20)</f>
        <v>71713.748720433825</v>
      </c>
      <c r="H60" s="108">
        <f>((H66-(H66*'Inc. Stmt.'!M42))*'random calculations'!$E$20)</f>
        <v>77827.988439376961</v>
      </c>
      <c r="I60" s="108">
        <f>((I66-(I66*'Inc. Stmt.'!N42))*'random calculations'!$E$20)</f>
        <v>82685.056687156539</v>
      </c>
      <c r="J60" s="108">
        <f>((J66-(J66*'Inc. Stmt.'!O42))*'random calculations'!$E$20)</f>
        <v>88163.308390698876</v>
      </c>
      <c r="M60" s="7"/>
    </row>
    <row r="61" spans="2:19" ht="16.05" customHeight="1" outlineLevel="1">
      <c r="B61" s="1"/>
      <c r="C61" t="s">
        <v>36</v>
      </c>
      <c r="D61" s="107">
        <v>109933.0525613991</v>
      </c>
      <c r="E61" s="108">
        <f>(((IF($B$4="Base",E66*E29,IF($B$4="Best",E66*E39,E66*E49))-(IF($B$4="Base",E66*E28,IF($B$4="Best",E66*E38,E66*E48))))/-1)*'random calculations'!$B$25)</f>
        <v>98857.945791618025</v>
      </c>
      <c r="F61" s="108">
        <f>(((IF($B$4="Base",F66*F29,IF($B$4="Best",F66*F39,F66*F49))-(IF($B$4="Base",F66*F28,IF($B$4="Best",F66*F38,F66*F48))))/-1)*'random calculations'!$B$25)</f>
        <v>97334.498169497572</v>
      </c>
      <c r="G61" s="108">
        <f>(((IF($B$4="Base",G66*G29,IF($B$4="Best",G66*G39,G66*G49))-(IF($B$4="Base",G66*G28,IF($B$4="Best",G66*G38,G66*G48))))/-1)*'random calculations'!$B$25)</f>
        <v>101510.29560134224</v>
      </c>
      <c r="H61" s="108">
        <f>(((IF($B$4="Base",H66*H29,IF($B$4="Best",H66*H39,H66*H49))-(IF($B$4="Base",H66*H28,IF($B$4="Best",H66*H38,H66*H48))))/-1)*'random calculations'!$B$25)</f>
        <v>105770.69246656349</v>
      </c>
      <c r="I61" s="108">
        <f>(((IF($B$4="Base",I66*I29,IF($B$4="Best",I66*I39,I66*I49))-(IF($B$4="Base",I66*I28,IF($B$4="Best",I66*I38,I66*I48))))/-1)*'random calculations'!$B$25)</f>
        <v>112371.6014997601</v>
      </c>
      <c r="J61" s="108">
        <f>(((IF($B$4="Base",J66*J29,IF($B$4="Best",J66*J39,J66*J49))-(IF($B$4="Base",J66*J28,IF($B$4="Best",J66*J38,J66*J48))))/-1)*'random calculations'!$B$25)</f>
        <v>119816.71845329864</v>
      </c>
      <c r="M61" s="7"/>
    </row>
    <row r="62" spans="2:19" ht="16.05" customHeight="1" outlineLevel="1">
      <c r="C62" t="s">
        <v>37</v>
      </c>
      <c r="D62" s="107">
        <v>67330.422163021081</v>
      </c>
      <c r="E62" s="108">
        <f>E66*'Common Bal. Sheet'!$B$20</f>
        <v>67745.647726645024</v>
      </c>
      <c r="F62" s="108">
        <f>F66*'Common Bal. Sheet'!$B$20</f>
        <v>69001.712387492807</v>
      </c>
      <c r="G62" s="108">
        <f>G66*'Common Bal. Sheet'!$B$20</f>
        <v>74532.061470721761</v>
      </c>
      <c r="H62" s="108">
        <f>H66*'Common Bal. Sheet'!$B$20</f>
        <v>80026.578174434107</v>
      </c>
      <c r="I62" s="108">
        <f>I66*'Common Bal. Sheet'!$B$20</f>
        <v>85020.855421266227</v>
      </c>
      <c r="J62" s="108">
        <f>J66*'Common Bal. Sheet'!$B$20</f>
        <v>90653.864149922345</v>
      </c>
      <c r="M62" s="7"/>
    </row>
    <row r="63" spans="2:19" ht="16.05" customHeight="1">
      <c r="D63" s="53"/>
      <c r="E63" s="8"/>
      <c r="F63" s="8"/>
      <c r="G63" s="8"/>
      <c r="H63" s="8"/>
      <c r="I63" s="8"/>
      <c r="J63" s="8"/>
    </row>
    <row r="64" spans="2:19" ht="16.05" customHeight="1" thickBot="1">
      <c r="C64" s="513" t="s">
        <v>270</v>
      </c>
      <c r="D64" s="513"/>
      <c r="E64" s="513"/>
      <c r="F64" s="513"/>
      <c r="G64" s="513"/>
      <c r="H64" s="513"/>
      <c r="I64" s="513"/>
      <c r="J64" s="513"/>
      <c r="P64" s="1"/>
      <c r="Q64" s="1"/>
      <c r="R64" s="1"/>
    </row>
    <row r="65" spans="2:18" ht="16.05" customHeight="1" thickTop="1" thickBot="1">
      <c r="C65" s="468"/>
      <c r="D65" s="470">
        <v>45658</v>
      </c>
      <c r="E65" s="469">
        <f t="shared" ref="E65:J65" si="6">EDATE(D65,12)</f>
        <v>46023</v>
      </c>
      <c r="F65" s="469">
        <f t="shared" si="6"/>
        <v>46388</v>
      </c>
      <c r="G65" s="469">
        <f t="shared" si="6"/>
        <v>46753</v>
      </c>
      <c r="H65" s="469">
        <f t="shared" si="6"/>
        <v>47119</v>
      </c>
      <c r="I65" s="469">
        <f t="shared" si="6"/>
        <v>47484</v>
      </c>
      <c r="J65" s="469">
        <f t="shared" si="6"/>
        <v>47849</v>
      </c>
      <c r="P65" s="1"/>
      <c r="Q65" s="1"/>
      <c r="R65" s="1"/>
    </row>
    <row r="66" spans="2:18" ht="16.05" customHeight="1" thickTop="1">
      <c r="C66" s="54" t="s">
        <v>1</v>
      </c>
      <c r="D66" s="163">
        <f>'Inc. Stmt.'!$I$5</f>
        <v>2093323.0500000003</v>
      </c>
      <c r="E66" s="55">
        <f t="shared" ref="E66:J66" si="7">IF($B$4="Base",D66*(1+E27),IF($B$4="Best",D66*(1+E37),D66*(1+E47)))</f>
        <v>2106232.5375000001</v>
      </c>
      <c r="F66" s="55">
        <f t="shared" si="7"/>
        <v>2145283.9651069278</v>
      </c>
      <c r="G66" s="55">
        <f t="shared" si="7"/>
        <v>2317224.179330443</v>
      </c>
      <c r="H66" s="55">
        <f t="shared" si="7"/>
        <v>2488050.3541113287</v>
      </c>
      <c r="I66" s="55">
        <f t="shared" si="7"/>
        <v>2643323.9339141012</v>
      </c>
      <c r="J66" s="55">
        <f t="shared" si="7"/>
        <v>2818455.8673512163</v>
      </c>
      <c r="K66" s="12"/>
      <c r="P66" s="1"/>
      <c r="Q66" s="1"/>
      <c r="R66" s="1"/>
    </row>
    <row r="67" spans="2:18" ht="16.05" customHeight="1">
      <c r="C67" s="56" t="s">
        <v>2</v>
      </c>
      <c r="D67" s="164">
        <f>'Inc. Stmt.'!$I$8</f>
        <v>1431832.9662000001</v>
      </c>
      <c r="E67" s="57">
        <f t="shared" ref="E67:J67" si="8">E66-E68</f>
        <v>1474362.7762500001</v>
      </c>
      <c r="F67" s="57">
        <f t="shared" si="8"/>
        <v>1523151.6152259188</v>
      </c>
      <c r="G67" s="57">
        <f t="shared" si="8"/>
        <v>1668401.4091179189</v>
      </c>
      <c r="H67" s="57">
        <f t="shared" si="8"/>
        <v>1810647.5801072044</v>
      </c>
      <c r="I67" s="57">
        <f t="shared" si="8"/>
        <v>1923645.989106403</v>
      </c>
      <c r="J67" s="57">
        <f t="shared" si="8"/>
        <v>2051096.0670171732</v>
      </c>
      <c r="K67" s="12"/>
      <c r="P67" s="1"/>
      <c r="Q67" s="1"/>
      <c r="R67" s="1"/>
    </row>
    <row r="68" spans="2:18" ht="16.05" customHeight="1">
      <c r="B68" s="13"/>
      <c r="C68" s="58" t="s">
        <v>3</v>
      </c>
      <c r="D68" s="165">
        <f>'Inc. Stmt.'!$I$9</f>
        <v>661490.08380000014</v>
      </c>
      <c r="E68" s="60">
        <f t="shared" ref="E68:J68" si="9">IF($B$4="Base",E66*E28,IF($B$4="Best",E66*E38,E66*E48))</f>
        <v>631869.76124999998</v>
      </c>
      <c r="F68" s="60">
        <f t="shared" si="9"/>
        <v>622132.34988100897</v>
      </c>
      <c r="G68" s="60">
        <f t="shared" si="9"/>
        <v>648822.7702125241</v>
      </c>
      <c r="H68" s="60">
        <f t="shared" si="9"/>
        <v>677402.77400412434</v>
      </c>
      <c r="I68" s="60">
        <f t="shared" si="9"/>
        <v>719677.94480769825</v>
      </c>
      <c r="J68" s="60">
        <f t="shared" si="9"/>
        <v>767359.8003340431</v>
      </c>
      <c r="K68" s="12"/>
      <c r="P68" s="1"/>
      <c r="Q68" s="1"/>
      <c r="R68" s="1"/>
    </row>
    <row r="69" spans="2:18" ht="16.05" customHeight="1">
      <c r="C69" s="56" t="s">
        <v>271</v>
      </c>
      <c r="D69" s="164">
        <f>'Inc. Stmt.'!$I$10</f>
        <v>226288.22170500009</v>
      </c>
      <c r="E69" s="57">
        <f t="shared" ref="E69:J69" si="10">E68-E70</f>
        <v>203491.01779103582</v>
      </c>
      <c r="F69" s="57">
        <f t="shared" si="10"/>
        <v>200355.125125108</v>
      </c>
      <c r="G69" s="57">
        <f t="shared" si="10"/>
        <v>208950.66352812538</v>
      </c>
      <c r="H69" s="57">
        <f t="shared" si="10"/>
        <v>217720.34296416235</v>
      </c>
      <c r="I69" s="57">
        <f t="shared" si="10"/>
        <v>231307.77578764624</v>
      </c>
      <c r="J69" s="57">
        <f t="shared" si="10"/>
        <v>246632.94175500656</v>
      </c>
      <c r="K69" s="12"/>
      <c r="P69" s="1"/>
      <c r="Q69" s="1"/>
      <c r="R69" s="1"/>
    </row>
    <row r="70" spans="2:18" ht="16.05" customHeight="1">
      <c r="B70" s="6"/>
      <c r="C70" s="2" t="s">
        <v>272</v>
      </c>
      <c r="D70" s="165">
        <f>D68-D69</f>
        <v>435201.86209500005</v>
      </c>
      <c r="E70" s="60">
        <f t="shared" ref="E70:J70" si="11">IF($B$4="Base",E66*E29,IF($B$4="Best",E66*E39,E66*E49))</f>
        <v>428378.74345896416</v>
      </c>
      <c r="F70" s="60">
        <f t="shared" si="11"/>
        <v>421777.22475590097</v>
      </c>
      <c r="G70" s="60">
        <f t="shared" si="11"/>
        <v>439872.10668439872</v>
      </c>
      <c r="H70" s="60">
        <f t="shared" si="11"/>
        <v>459682.43103996199</v>
      </c>
      <c r="I70" s="60">
        <f t="shared" si="11"/>
        <v>488370.16902005201</v>
      </c>
      <c r="J70" s="60">
        <f t="shared" si="11"/>
        <v>520726.85857903655</v>
      </c>
      <c r="K70" s="12"/>
    </row>
    <row r="71" spans="2:18" ht="16.05" customHeight="1">
      <c r="C71" t="s">
        <v>273</v>
      </c>
      <c r="D71" s="163">
        <f>D70*D30</f>
        <v>100265.32451748276</v>
      </c>
      <c r="E71" s="55">
        <f t="shared" ref="E71:J71" si="12">IF($B$4="Base",E70*E30,IF($B$4="Best",E70*E40,E70*E50))</f>
        <v>98693.359266759449</v>
      </c>
      <c r="F71" s="55">
        <f t="shared" si="12"/>
        <v>97172.448000698787</v>
      </c>
      <c r="G71" s="55">
        <f t="shared" si="12"/>
        <v>101341.29323479919</v>
      </c>
      <c r="H71" s="55">
        <f t="shared" si="12"/>
        <v>105905.35596822921</v>
      </c>
      <c r="I71" s="55">
        <f t="shared" si="12"/>
        <v>112514.66904515341</v>
      </c>
      <c r="J71" s="55">
        <f t="shared" si="12"/>
        <v>119969.26485806113</v>
      </c>
      <c r="K71" s="12"/>
    </row>
    <row r="72" spans="2:18" ht="16.05" customHeight="1">
      <c r="C72" s="61" t="s">
        <v>274</v>
      </c>
      <c r="D72" s="166">
        <f t="shared" ref="D72:J72" si="13">D70-D71</f>
        <v>334936.53757751727</v>
      </c>
      <c r="E72" s="62">
        <f t="shared" si="13"/>
        <v>329685.38419220468</v>
      </c>
      <c r="F72" s="62">
        <f t="shared" si="13"/>
        <v>324604.77675520221</v>
      </c>
      <c r="G72" s="62">
        <f t="shared" si="13"/>
        <v>338530.81344959955</v>
      </c>
      <c r="H72" s="62">
        <f t="shared" si="13"/>
        <v>353777.07507173275</v>
      </c>
      <c r="I72" s="62">
        <f t="shared" si="13"/>
        <v>375855.49997489859</v>
      </c>
      <c r="J72" s="62">
        <f t="shared" si="13"/>
        <v>400757.59372097545</v>
      </c>
      <c r="K72" s="12"/>
    </row>
    <row r="73" spans="2:18" ht="16.05" customHeight="1">
      <c r="C73" t="s">
        <v>275</v>
      </c>
      <c r="D73" s="167">
        <f>D66*'random calculations'!$E$15</f>
        <v>3953.0429687500923</v>
      </c>
      <c r="E73" s="55">
        <f>E66*'random calculations'!$E$15</f>
        <v>3977.4213172291011</v>
      </c>
      <c r="F73" s="55">
        <f>F66*'random calculations'!$E$15</f>
        <v>4051.166251782427</v>
      </c>
      <c r="G73" s="55">
        <f>G66*'random calculations'!$E$15</f>
        <v>4375.8591150658322</v>
      </c>
      <c r="H73" s="55">
        <f>H66*'random calculations'!$E$15</f>
        <v>4698.4482200279426</v>
      </c>
      <c r="I73" s="55">
        <f>I66*'random calculations'!$E$15</f>
        <v>4991.6677175498398</v>
      </c>
      <c r="J73" s="55">
        <f>J66*'random calculations'!$E$15</f>
        <v>5322.3878412675804</v>
      </c>
      <c r="K73" s="12"/>
    </row>
    <row r="74" spans="2:18" ht="16.05" customHeight="1">
      <c r="C74" t="s">
        <v>276</v>
      </c>
      <c r="D74" s="163">
        <f>-D66*'random calculations'!$E$11</f>
        <v>5312.1754091869698</v>
      </c>
      <c r="E74" s="109">
        <f>-E66*'random calculations'!$E$11</f>
        <v>5344.9355042151619</v>
      </c>
      <c r="F74" s="109">
        <f>-F66*'random calculations'!$E$11</f>
        <v>5444.0353700610794</v>
      </c>
      <c r="G74" s="109">
        <f>-G66*'random calculations'!$E$11</f>
        <v>5880.3639041822216</v>
      </c>
      <c r="H74" s="109">
        <f>-H66*'random calculations'!$E$11</f>
        <v>6313.8653672824803</v>
      </c>
      <c r="I74" s="109">
        <f>-I66*'random calculations'!$E$11</f>
        <v>6707.8993852639469</v>
      </c>
      <c r="J74" s="109">
        <f>-J66*'random calculations'!$E$11</f>
        <v>7152.3274682433093</v>
      </c>
      <c r="K74" s="12"/>
    </row>
    <row r="75" spans="2:18" ht="16.05" customHeight="1">
      <c r="C75" t="s">
        <v>277</v>
      </c>
      <c r="D75" s="163">
        <f t="shared" ref="D75:J75" si="14">SUM(D57:D59)-SUM(D60:D62)</f>
        <v>1911126.2306159965</v>
      </c>
      <c r="E75" s="109">
        <f t="shared" si="14"/>
        <v>1937219.3592446891</v>
      </c>
      <c r="F75" s="109">
        <f t="shared" si="14"/>
        <v>2103108.255905977</v>
      </c>
      <c r="G75" s="109">
        <f t="shared" si="14"/>
        <v>2307084.6301646349</v>
      </c>
      <c r="H75" s="109">
        <f t="shared" si="14"/>
        <v>2368607.6104308991</v>
      </c>
      <c r="I75" s="109">
        <f t="shared" si="14"/>
        <v>2490985.1188216014</v>
      </c>
      <c r="J75" s="109">
        <f t="shared" si="14"/>
        <v>2582262.04907041</v>
      </c>
      <c r="K75" s="12"/>
    </row>
    <row r="76" spans="2:18" ht="16.05" customHeight="1" thickBot="1">
      <c r="C76" s="63" t="s">
        <v>278</v>
      </c>
      <c r="D76" s="168">
        <f>D75-('Bal. Sheet'!$H$8-'Bal. Sheet'!$H$4)-(SUM('Bal. Sheet'!$H$18:$H$20))</f>
        <v>-260974.76938400348</v>
      </c>
      <c r="E76" s="110">
        <f t="shared" ref="E76:J76" si="15">E75-D75</f>
        <v>26093.12862869259</v>
      </c>
      <c r="F76" s="110">
        <f t="shared" si="15"/>
        <v>165888.89666128787</v>
      </c>
      <c r="G76" s="110">
        <f t="shared" si="15"/>
        <v>203976.37425865792</v>
      </c>
      <c r="H76" s="110">
        <f t="shared" si="15"/>
        <v>61522.980266264174</v>
      </c>
      <c r="I76" s="110">
        <f t="shared" si="15"/>
        <v>122377.50839070231</v>
      </c>
      <c r="J76" s="110">
        <f t="shared" si="15"/>
        <v>91276.930248808581</v>
      </c>
      <c r="K76" s="12"/>
    </row>
    <row r="77" spans="2:18" ht="16.05" customHeight="1" thickTop="1">
      <c r="C77" s="2" t="s">
        <v>279</v>
      </c>
      <c r="D77" s="169">
        <f t="shared" ref="D77:J77" si="16">D72+D73-D74-D76</f>
        <v>594552.17452108394</v>
      </c>
      <c r="E77" s="60">
        <f t="shared" si="16"/>
        <v>302224.74137652601</v>
      </c>
      <c r="F77" s="204">
        <f t="shared" si="16"/>
        <v>157323.01097563573</v>
      </c>
      <c r="G77" s="60">
        <f t="shared" si="16"/>
        <v>133049.93440182525</v>
      </c>
      <c r="H77" s="60">
        <f t="shared" si="16"/>
        <v>290638.67765821406</v>
      </c>
      <c r="I77" s="60">
        <f t="shared" si="16"/>
        <v>251761.75991648214</v>
      </c>
      <c r="J77" s="60">
        <f t="shared" si="16"/>
        <v>307650.72384519113</v>
      </c>
      <c r="K77" s="12"/>
    </row>
    <row r="78" spans="2:18" ht="16.05" customHeight="1">
      <c r="C78" t="s">
        <v>280</v>
      </c>
      <c r="D78" s="163"/>
      <c r="E78" s="55"/>
      <c r="F78" s="55"/>
      <c r="G78" s="55"/>
      <c r="H78" s="55"/>
      <c r="I78" s="55"/>
      <c r="J78" s="55">
        <f>IF($B$4="Base",(J77*(1+J33))/(J32-J33),IF($B$4="Best",(J77*(1+J42))/(J42-J43),(J77*(1+J52))/(J52-J53)))</f>
        <v>4655394.0232639192</v>
      </c>
    </row>
    <row r="79" spans="2:18" ht="16.05" customHeight="1">
      <c r="C79" t="s">
        <v>281</v>
      </c>
      <c r="D79" s="170">
        <f t="shared" ref="D79:J79" si="17">1/(1+$D$31)^(YEAR(D65)-YEAR($D$65))</f>
        <v>1</v>
      </c>
      <c r="E79" s="65">
        <f t="shared" si="17"/>
        <v>0.882965727624895</v>
      </c>
      <c r="F79" s="65">
        <f t="shared" si="17"/>
        <v>0.7796284761601604</v>
      </c>
      <c r="G79" s="65">
        <f t="shared" si="17"/>
        <v>0.68838522472984409</v>
      </c>
      <c r="H79" s="65">
        <f t="shared" si="17"/>
        <v>0.60782056083981373</v>
      </c>
      <c r="I79" s="65">
        <f t="shared" si="17"/>
        <v>0.53668472376729792</v>
      </c>
      <c r="J79" s="65">
        <f t="shared" si="17"/>
        <v>0.47387421762635806</v>
      </c>
    </row>
    <row r="80" spans="2:18" ht="16.05" customHeight="1">
      <c r="C80" s="66" t="s">
        <v>282</v>
      </c>
      <c r="D80" s="171">
        <f t="shared" ref="D80:J80" si="18">SUM(D77:D78)*D79</f>
        <v>594552.17452108394</v>
      </c>
      <c r="E80" s="67">
        <f t="shared" si="18"/>
        <v>266854.08867576998</v>
      </c>
      <c r="F80" s="67">
        <f t="shared" si="18"/>
        <v>122653.49931186307</v>
      </c>
      <c r="G80" s="67">
        <f t="shared" si="18"/>
        <v>91589.608993491493</v>
      </c>
      <c r="H80" s="67">
        <f t="shared" si="18"/>
        <v>176656.16405595752</v>
      </c>
      <c r="I80" s="67">
        <f t="shared" si="18"/>
        <v>135116.69057594601</v>
      </c>
      <c r="J80" s="67">
        <f t="shared" si="18"/>
        <v>2351858.9465809357</v>
      </c>
    </row>
    <row r="81" spans="3:10" ht="16.05" customHeight="1">
      <c r="D81" s="13"/>
      <c r="E81" s="13"/>
      <c r="F81" s="13"/>
      <c r="G81" s="13"/>
      <c r="H81" s="13"/>
      <c r="I81" s="13"/>
      <c r="J81" s="13"/>
    </row>
    <row r="82" spans="3:10" ht="16.05" customHeight="1">
      <c r="C82" s="2" t="s">
        <v>283</v>
      </c>
      <c r="D82" s="59">
        <f>SUM(D80:J80)</f>
        <v>3739281.1727150478</v>
      </c>
      <c r="G82" s="101"/>
      <c r="H82" s="101"/>
      <c r="I82" s="101"/>
      <c r="J82" s="101"/>
    </row>
    <row r="83" spans="3:10" ht="16.05" customHeight="1">
      <c r="C83" t="s">
        <v>284</v>
      </c>
      <c r="D83" s="13">
        <f>$D$18</f>
        <v>383898.90950000001</v>
      </c>
      <c r="G83" s="6"/>
      <c r="H83" s="6"/>
      <c r="I83" s="6"/>
      <c r="J83" s="100"/>
    </row>
    <row r="84" spans="3:10" ht="16.05" customHeight="1">
      <c r="C84" t="s">
        <v>285</v>
      </c>
      <c r="D84" s="13">
        <f>D21</f>
        <v>44440</v>
      </c>
      <c r="E84" s="13"/>
      <c r="H84" s="6"/>
      <c r="I84" s="6"/>
      <c r="J84" s="6"/>
    </row>
    <row r="85" spans="3:10" ht="16.05" customHeight="1">
      <c r="C85" t="s">
        <v>286</v>
      </c>
      <c r="D85" s="13">
        <f>'Bal. Sheet'!$I$36</f>
        <v>27787.928000000004</v>
      </c>
      <c r="E85" s="13"/>
      <c r="F85" s="6"/>
      <c r="G85" s="6"/>
      <c r="H85" s="6"/>
      <c r="J85" s="6"/>
    </row>
    <row r="86" spans="3:10" ht="16.05" customHeight="1">
      <c r="C86" t="s">
        <v>287</v>
      </c>
      <c r="D86" s="13">
        <f>'Bal. Sheet'!$I$4</f>
        <v>242395.24540048058</v>
      </c>
      <c r="E86" s="13"/>
      <c r="F86" s="6"/>
      <c r="G86" s="6"/>
      <c r="H86" s="6"/>
      <c r="J86" s="6"/>
    </row>
    <row r="87" spans="3:10" ht="16.05" customHeight="1" thickBot="1">
      <c r="C87" s="68" t="s">
        <v>251</v>
      </c>
      <c r="D87" s="69">
        <f>'Inc. Stmt.'!$I$25</f>
        <v>45152</v>
      </c>
      <c r="E87" s="6"/>
      <c r="F87" s="6"/>
      <c r="G87" s="6"/>
      <c r="H87" s="6"/>
      <c r="I87" s="6"/>
      <c r="J87" s="6"/>
    </row>
    <row r="88" spans="3:10" ht="16.05" customHeight="1" thickTop="1">
      <c r="C88" s="2" t="s">
        <v>288</v>
      </c>
      <c r="D88" s="19">
        <f>(D82-D83-D84-D85+D86)/D87</f>
        <v>78.081803256013657</v>
      </c>
      <c r="E88" s="6"/>
      <c r="F88" s="8"/>
      <c r="G88" s="6"/>
      <c r="H88" s="6"/>
      <c r="I88" s="6"/>
      <c r="J88" s="6"/>
    </row>
    <row r="89" spans="3:10" ht="16.05" customHeight="1">
      <c r="C89" s="2"/>
      <c r="D89" s="70"/>
      <c r="E89" s="6"/>
      <c r="F89" s="6"/>
      <c r="H89" s="6"/>
      <c r="I89" s="6"/>
      <c r="J89" s="6"/>
    </row>
    <row r="90" spans="3:10" ht="16.05" customHeight="1">
      <c r="E90" s="6"/>
      <c r="F90" s="105"/>
      <c r="G90" s="6"/>
      <c r="H90" s="6"/>
      <c r="I90" s="6"/>
      <c r="J90" s="6"/>
    </row>
    <row r="91" spans="3:10" ht="16.05" customHeight="1">
      <c r="D91" s="13"/>
      <c r="E91" s="71"/>
      <c r="F91" s="8"/>
      <c r="G91" s="71"/>
      <c r="H91" s="71"/>
      <c r="I91" s="71"/>
      <c r="J91" s="71"/>
    </row>
    <row r="92" spans="3:10" ht="16.05" customHeight="1">
      <c r="E92" s="507"/>
      <c r="F92" s="6"/>
      <c r="G92" s="6"/>
      <c r="H92" s="6"/>
      <c r="I92" s="6"/>
      <c r="J92" s="6"/>
    </row>
    <row r="97" spans="2:14" ht="16.05" customHeight="1">
      <c r="I97" s="64"/>
    </row>
    <row r="98" spans="2:14" ht="16.05" customHeight="1">
      <c r="C98" s="5" t="s">
        <v>289</v>
      </c>
      <c r="D98" s="115">
        <f>'Relative Model'!K18</f>
        <v>85.372635716845252</v>
      </c>
    </row>
    <row r="99" spans="2:14" ht="16.05" customHeight="1">
      <c r="C99" t="s">
        <v>232</v>
      </c>
      <c r="D99" s="19">
        <f>D88*0.7+D98*0.3</f>
        <v>80.269052994263134</v>
      </c>
      <c r="E99" s="64"/>
    </row>
    <row r="100" spans="2:14" ht="16.05" customHeight="1">
      <c r="C100" s="512" t="s">
        <v>290</v>
      </c>
      <c r="D100" s="512"/>
      <c r="E100" s="512"/>
      <c r="F100" s="512"/>
      <c r="G100" s="512"/>
      <c r="H100" s="512"/>
    </row>
    <row r="101" spans="2:14" ht="16.05" customHeight="1">
      <c r="C101" s="514" t="s">
        <v>291</v>
      </c>
      <c r="D101" s="514"/>
      <c r="E101" s="514"/>
      <c r="F101" s="514"/>
      <c r="G101" s="514"/>
      <c r="H101" s="514"/>
    </row>
    <row r="102" spans="2:14" ht="16.05" customHeight="1">
      <c r="B102" s="511" t="s">
        <v>264</v>
      </c>
      <c r="C102" s="72">
        <f>$D$99</f>
        <v>80.269052994263134</v>
      </c>
      <c r="D102" s="73">
        <v>0.01</v>
      </c>
      <c r="E102" s="73">
        <v>5.0000000000000001E-3</v>
      </c>
      <c r="F102" s="73">
        <v>0</v>
      </c>
      <c r="G102" s="73">
        <v>-5.0000000000000001E-3</v>
      </c>
      <c r="H102" s="73">
        <v>-0.01</v>
      </c>
      <c r="J102" s="92"/>
      <c r="K102" s="64"/>
    </row>
    <row r="103" spans="2:14" ht="16.05" customHeight="1">
      <c r="B103" s="511"/>
      <c r="C103" s="73">
        <v>-0.02</v>
      </c>
      <c r="D103" s="64">
        <f t="dataTable" ref="D103:H107" dt2D="1" dtr="1" r1="K33" r2="K31" ca="1"/>
        <v>91.989225134379353</v>
      </c>
      <c r="E103" s="64">
        <v>88.218438665436054</v>
      </c>
      <c r="F103" s="64">
        <v>85.001631090300734</v>
      </c>
      <c r="G103" s="64">
        <v>82.225076023978886</v>
      </c>
      <c r="H103" s="64">
        <v>79.804182542788553</v>
      </c>
    </row>
    <row r="104" spans="2:14" ht="16.05" customHeight="1">
      <c r="B104" s="511"/>
      <c r="C104" s="73">
        <v>-0.01</v>
      </c>
      <c r="D104" s="64">
        <v>89.187207991413445</v>
      </c>
      <c r="E104" s="64">
        <v>85.613533961257687</v>
      </c>
      <c r="F104" s="64">
        <v>82.564880375076001</v>
      </c>
      <c r="G104" s="64">
        <v>79.933465731066121</v>
      </c>
      <c r="H104" s="64">
        <v>77.639120974406453</v>
      </c>
    </row>
    <row r="105" spans="2:14" ht="16.05" customHeight="1">
      <c r="B105" s="511"/>
      <c r="C105" s="73">
        <v>0</v>
      </c>
      <c r="D105" s="64">
        <v>86.548197171442041</v>
      </c>
      <c r="E105" s="64">
        <v>83.159718712262688</v>
      </c>
      <c r="F105" s="64">
        <v>80.269052994263134</v>
      </c>
      <c r="G105" s="64">
        <v>77.774003987790636</v>
      </c>
      <c r="H105" s="64">
        <v>75.598557173036383</v>
      </c>
    </row>
    <row r="106" spans="2:14" ht="16.05" customHeight="1">
      <c r="B106" s="511"/>
      <c r="C106" s="73">
        <v>0.01</v>
      </c>
      <c r="D106" s="64">
        <v>84.061238993587494</v>
      </c>
      <c r="E106" s="64">
        <v>80.846855545691554</v>
      </c>
      <c r="F106" s="64">
        <v>78.104707956655886</v>
      </c>
      <c r="G106" s="64">
        <v>75.737850877671605</v>
      </c>
      <c r="H106" s="64">
        <v>73.674175302523466</v>
      </c>
    </row>
    <row r="107" spans="2:14" ht="16.05" customHeight="1">
      <c r="B107" s="511"/>
      <c r="C107" s="73">
        <v>0.02</v>
      </c>
      <c r="D107" s="64">
        <v>81.716207003767039</v>
      </c>
      <c r="E107" s="64">
        <v>78.665571944570544</v>
      </c>
      <c r="F107" s="64">
        <v>76.063115918958815</v>
      </c>
      <c r="G107" s="64">
        <v>73.816832206297491</v>
      </c>
      <c r="H107" s="64">
        <v>71.858285205790978</v>
      </c>
    </row>
    <row r="109" spans="2:14" ht="16.05" customHeight="1">
      <c r="C109" s="512" t="s">
        <v>292</v>
      </c>
      <c r="D109" s="512"/>
      <c r="E109" s="512"/>
      <c r="F109" s="512"/>
      <c r="G109" s="512"/>
      <c r="H109" s="512"/>
    </row>
    <row r="110" spans="2:14" ht="16.05" customHeight="1">
      <c r="C110" s="514" t="s">
        <v>72</v>
      </c>
      <c r="D110" s="514"/>
      <c r="E110" s="514"/>
      <c r="F110" s="514"/>
      <c r="G110" s="514"/>
      <c r="H110" s="514"/>
    </row>
    <row r="111" spans="2:14" ht="16.05" customHeight="1">
      <c r="B111" s="511" t="s">
        <v>293</v>
      </c>
      <c r="C111" s="74">
        <f>D99</f>
        <v>80.269052994263134</v>
      </c>
      <c r="D111" s="73">
        <f>E111+2.5%</f>
        <v>0.05</v>
      </c>
      <c r="E111" s="73">
        <f>F111+2.5%</f>
        <v>2.5000000000000001E-2</v>
      </c>
      <c r="F111" s="73">
        <v>0</v>
      </c>
      <c r="G111" s="73">
        <f>F111-2.5%</f>
        <v>-2.5000000000000001E-2</v>
      </c>
      <c r="H111" s="73">
        <f>G111-2.5%</f>
        <v>-0.05</v>
      </c>
      <c r="J111" s="74"/>
      <c r="K111" s="73"/>
      <c r="L111" s="73"/>
      <c r="M111" s="73"/>
      <c r="N111" s="73"/>
    </row>
    <row r="112" spans="2:14" ht="16.05" customHeight="1">
      <c r="B112" s="511"/>
      <c r="C112" s="73">
        <f>C113+2.5%</f>
        <v>0.05</v>
      </c>
      <c r="D112" s="64">
        <f t="dataTable" ref="D112:H116" dt2D="1" dtr="1" r1="K28" r2="K27" ca="1"/>
        <v>91.345080986632681</v>
      </c>
      <c r="E112" s="64">
        <v>88.515808488228004</v>
      </c>
      <c r="F112" s="64">
        <v>85.686307425748126</v>
      </c>
      <c r="G112" s="64">
        <v>82.857033824511134</v>
      </c>
      <c r="H112" s="64">
        <v>80.027650028310504</v>
      </c>
      <c r="J112" s="73"/>
      <c r="K112" s="64"/>
      <c r="L112" s="64"/>
      <c r="M112" s="64"/>
      <c r="N112" s="64"/>
    </row>
    <row r="113" spans="2:14" ht="16.05" customHeight="1">
      <c r="B113" s="511"/>
      <c r="C113" s="73">
        <f>C114+2.5%</f>
        <v>2.5000000000000001E-2</v>
      </c>
      <c r="D113" s="64">
        <v>87.970184402650716</v>
      </c>
      <c r="E113" s="64">
        <v>85.413556528986859</v>
      </c>
      <c r="F113" s="64">
        <v>82.857040099295816</v>
      </c>
      <c r="G113" s="64">
        <v>80.300412225631916</v>
      </c>
      <c r="H113" s="64">
        <v>77.743777280652395</v>
      </c>
      <c r="J113" s="73"/>
      <c r="K113" s="64"/>
      <c r="L113" s="64"/>
      <c r="M113" s="64"/>
      <c r="N113" s="64"/>
    </row>
    <row r="114" spans="2:14" ht="16.05" customHeight="1">
      <c r="B114" s="511"/>
      <c r="C114" s="73">
        <v>0</v>
      </c>
      <c r="D114" s="64">
        <v>84.881994663336386</v>
      </c>
      <c r="E114" s="64">
        <v>82.575527906186068</v>
      </c>
      <c r="F114" s="64">
        <v>80.269052994263134</v>
      </c>
      <c r="G114" s="64">
        <v>77.962585487328198</v>
      </c>
      <c r="H114" s="64">
        <v>75.656228925141519</v>
      </c>
      <c r="J114" s="73"/>
      <c r="K114" s="64"/>
      <c r="L114" s="64"/>
      <c r="M114" s="64"/>
      <c r="N114" s="64"/>
    </row>
    <row r="115" spans="2:14" ht="16.05" customHeight="1">
      <c r="B115" s="511"/>
      <c r="C115" s="73">
        <f>C114-2.5%</f>
        <v>-2.5000000000000001E-2</v>
      </c>
      <c r="D115" s="64">
        <v>82.061205069577795</v>
      </c>
      <c r="E115" s="64">
        <v>79.983805052810638</v>
      </c>
      <c r="F115" s="64">
        <v>77.906402184977225</v>
      </c>
      <c r="G115" s="64">
        <v>75.829113278510491</v>
      </c>
      <c r="H115" s="64">
        <v>73.751593497445612</v>
      </c>
      <c r="J115" s="73"/>
      <c r="K115" s="64"/>
      <c r="L115" s="64"/>
      <c r="M115" s="64"/>
      <c r="N115" s="64"/>
    </row>
    <row r="116" spans="2:14" ht="16.05" customHeight="1">
      <c r="B116" s="511"/>
      <c r="C116" s="73">
        <f>C115-2.5%</f>
        <v>-0.05</v>
      </c>
      <c r="D116" s="64">
        <v>79.489816548211039</v>
      </c>
      <c r="E116" s="64">
        <v>77.621836725525398</v>
      </c>
      <c r="F116" s="64">
        <v>75.753739449064938</v>
      </c>
      <c r="G116" s="64">
        <v>73.885530916127209</v>
      </c>
      <c r="H116" s="64">
        <v>72.017432225105395</v>
      </c>
      <c r="J116" s="73"/>
      <c r="K116" s="64"/>
      <c r="L116" s="64"/>
      <c r="M116" s="64"/>
      <c r="N116" s="64"/>
    </row>
  </sheetData>
  <mergeCells count="13">
    <mergeCell ref="H3:J3"/>
    <mergeCell ref="B102:B107"/>
    <mergeCell ref="B111:B116"/>
    <mergeCell ref="C8:D8"/>
    <mergeCell ref="C64:J64"/>
    <mergeCell ref="C110:H110"/>
    <mergeCell ref="C100:H100"/>
    <mergeCell ref="C109:H109"/>
    <mergeCell ref="C101:H101"/>
    <mergeCell ref="C45:J45"/>
    <mergeCell ref="C35:J35"/>
    <mergeCell ref="C25:J25"/>
    <mergeCell ref="C55:J55"/>
  </mergeCells>
  <conditionalFormatting sqref="B4">
    <cfRule type="expression" dxfId="2" priority="1">
      <formula>$B$4="Base"</formula>
    </cfRule>
    <cfRule type="expression" dxfId="1" priority="2">
      <formula>$B$4="Best"</formula>
    </cfRule>
    <cfRule type="expression" dxfId="0" priority="3">
      <formula>$B$4="Worst"</formula>
    </cfRule>
  </conditionalFormatting>
  <dataValidations count="1">
    <dataValidation type="list" allowBlank="1" showInputMessage="1" showErrorMessage="1" sqref="B4" xr:uid="{5A34AC9E-6A93-460E-95CE-E17AF6793B99}">
      <formula1>"Base, Best, Worst"</formula1>
    </dataValidation>
  </dataValidation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C6366-BF87-4115-9B69-C80AEB01500F}">
  <sheetPr>
    <tabColor rgb="FF5DCAF5"/>
    <pageSetUpPr autoPageBreaks="0"/>
  </sheetPr>
  <dimension ref="A1:O21"/>
  <sheetViews>
    <sheetView showGridLines="0" topLeftCell="F1" zoomScale="85" zoomScaleNormal="85" workbookViewId="0">
      <selection activeCell="O7" sqref="O7"/>
    </sheetView>
  </sheetViews>
  <sheetFormatPr defaultColWidth="16.77734375" defaultRowHeight="16.05" customHeight="1"/>
  <cols>
    <col min="1" max="1" width="29.5546875" bestFit="1" customWidth="1"/>
    <col min="2" max="2" width="9.5546875" customWidth="1"/>
    <col min="3" max="3" width="17.88671875" customWidth="1"/>
    <col min="4" max="4" width="7.5546875" customWidth="1"/>
    <col min="5" max="10" width="16.77734375" customWidth="1"/>
    <col min="11" max="11" width="18.88671875" bestFit="1" customWidth="1"/>
    <col min="12" max="12" width="17.88671875" bestFit="1" customWidth="1"/>
    <col min="14" max="14" width="26.33203125" customWidth="1"/>
    <col min="15" max="15" width="10.109375" bestFit="1" customWidth="1"/>
  </cols>
  <sheetData>
    <row r="1" spans="1:15" s="14" customFormat="1" ht="30" customHeight="1">
      <c r="A1" s="291" t="s">
        <v>294</v>
      </c>
      <c r="B1" s="291"/>
      <c r="C1" s="291"/>
      <c r="D1" s="291"/>
      <c r="E1" s="291"/>
      <c r="F1" s="291"/>
      <c r="G1" s="291"/>
      <c r="H1" s="291"/>
      <c r="I1" s="291"/>
      <c r="J1" s="291"/>
      <c r="K1" s="291"/>
    </row>
    <row r="2" spans="1:15" ht="16.05" customHeight="1">
      <c r="A2" s="471" t="s">
        <v>295</v>
      </c>
      <c r="B2" s="471" t="s">
        <v>296</v>
      </c>
      <c r="C2" s="495" t="s">
        <v>297</v>
      </c>
      <c r="D2" s="472" t="s">
        <v>298</v>
      </c>
      <c r="E2" s="472" t="s">
        <v>299</v>
      </c>
      <c r="F2" s="472" t="s">
        <v>300</v>
      </c>
      <c r="G2" s="472" t="s">
        <v>67</v>
      </c>
      <c r="H2" s="472" t="s">
        <v>301</v>
      </c>
      <c r="I2" s="472" t="s">
        <v>302</v>
      </c>
      <c r="J2" s="474" t="s">
        <v>303</v>
      </c>
      <c r="K2" s="472" t="s">
        <v>304</v>
      </c>
      <c r="L2" s="472" t="s">
        <v>305</v>
      </c>
      <c r="N2" s="518" t="s">
        <v>306</v>
      </c>
      <c r="O2" s="518"/>
    </row>
    <row r="3" spans="1:15" s="93" customFormat="1" ht="16.05" customHeight="1">
      <c r="A3" s="473" t="s">
        <v>476</v>
      </c>
      <c r="B3" s="473" t="s">
        <v>477</v>
      </c>
      <c r="C3" s="475">
        <v>3079996.227</v>
      </c>
      <c r="D3" s="476">
        <v>70.52</v>
      </c>
      <c r="E3" s="477">
        <v>3376628.1920995195</v>
      </c>
      <c r="F3" s="477">
        <v>2093323.0500000003</v>
      </c>
      <c r="G3" s="477">
        <v>439154.90506375016</v>
      </c>
      <c r="H3" s="477">
        <v>6.8060035727657082</v>
      </c>
      <c r="I3" s="477">
        <v>334936.53757751727</v>
      </c>
      <c r="J3" s="486">
        <v>40.417032756024099</v>
      </c>
      <c r="K3" s="482">
        <f>E3/G3</f>
        <v>7.688922867910013</v>
      </c>
      <c r="L3" s="482">
        <f>D3/H3</f>
        <v>10.361440343961394</v>
      </c>
      <c r="N3" t="s">
        <v>307</v>
      </c>
      <c r="O3" s="13">
        <f>C3</f>
        <v>3079996.227</v>
      </c>
    </row>
    <row r="4" spans="1:15" ht="16.05" customHeight="1">
      <c r="A4" t="s">
        <v>308</v>
      </c>
      <c r="B4" t="s">
        <v>309</v>
      </c>
      <c r="C4" s="478">
        <v>5956341.1880000001</v>
      </c>
      <c r="D4" s="479">
        <v>61.55</v>
      </c>
      <c r="E4" s="480">
        <v>7640000</v>
      </c>
      <c r="F4" s="480">
        <v>8380000.0000000009</v>
      </c>
      <c r="G4" s="480">
        <v>1260000</v>
      </c>
      <c r="H4" s="480">
        <v>8.31</v>
      </c>
      <c r="I4" s="480">
        <v>850940</v>
      </c>
      <c r="J4" s="487">
        <v>63.29</v>
      </c>
      <c r="K4" s="481">
        <v>6.0634920634920633</v>
      </c>
      <c r="L4" s="481">
        <v>7.4067388688327309</v>
      </c>
      <c r="N4" t="s">
        <v>310</v>
      </c>
      <c r="O4" s="13">
        <f>'DCF Model'!D83</f>
        <v>383898.90950000001</v>
      </c>
    </row>
    <row r="5" spans="1:15" ht="16.05" customHeight="1">
      <c r="A5" t="s">
        <v>217</v>
      </c>
      <c r="B5" t="s">
        <v>311</v>
      </c>
      <c r="C5" s="478">
        <v>4738421.6289999997</v>
      </c>
      <c r="D5" s="479">
        <v>69.959999999999994</v>
      </c>
      <c r="E5" s="480">
        <v>5800000</v>
      </c>
      <c r="F5" s="480">
        <v>6040000</v>
      </c>
      <c r="G5" s="480">
        <v>681200</v>
      </c>
      <c r="H5" s="480">
        <v>7.49</v>
      </c>
      <c r="I5" s="480">
        <v>541630</v>
      </c>
      <c r="J5" s="487">
        <v>75.099999999999994</v>
      </c>
      <c r="K5" s="481">
        <v>8.5143863769817969</v>
      </c>
      <c r="L5" s="481">
        <v>9.340453938584778</v>
      </c>
      <c r="N5" t="s">
        <v>312</v>
      </c>
      <c r="O5" s="13">
        <f>'DCF Model'!D84</f>
        <v>44440</v>
      </c>
    </row>
    <row r="6" spans="1:15" ht="16.05" customHeight="1">
      <c r="A6" t="s">
        <v>218</v>
      </c>
      <c r="B6" t="s">
        <v>313</v>
      </c>
      <c r="C6" s="478">
        <v>2866549.2250000001</v>
      </c>
      <c r="D6" s="479">
        <v>33.729999999999997</v>
      </c>
      <c r="E6" s="480">
        <v>3160000</v>
      </c>
      <c r="F6" s="480">
        <v>3750000</v>
      </c>
      <c r="G6" s="480">
        <v>434400</v>
      </c>
      <c r="H6" s="480">
        <v>3.39</v>
      </c>
      <c r="I6" s="480">
        <v>310140</v>
      </c>
      <c r="J6" s="487">
        <v>38.4</v>
      </c>
      <c r="K6" s="481">
        <v>7.2744014732965008</v>
      </c>
      <c r="L6" s="481">
        <v>9.9498525073746293</v>
      </c>
      <c r="N6" t="s">
        <v>314</v>
      </c>
      <c r="O6" s="13">
        <f>'DCF Model'!D85</f>
        <v>27787.928000000004</v>
      </c>
    </row>
    <row r="7" spans="1:15" ht="16.05" customHeight="1">
      <c r="A7" t="s">
        <v>216</v>
      </c>
      <c r="B7" t="s">
        <v>315</v>
      </c>
      <c r="C7" s="478">
        <v>1829601.7490000001</v>
      </c>
      <c r="D7" s="479">
        <v>63.97</v>
      </c>
      <c r="E7" s="480">
        <v>3220000</v>
      </c>
      <c r="F7" s="480">
        <v>4050000</v>
      </c>
      <c r="G7" s="480">
        <v>204530</v>
      </c>
      <c r="H7" s="480">
        <v>6.85</v>
      </c>
      <c r="I7" s="480">
        <v>214380</v>
      </c>
      <c r="J7" s="487">
        <v>87.74</v>
      </c>
      <c r="K7" s="481">
        <v>15.743411724441403</v>
      </c>
      <c r="L7" s="481">
        <v>9.3386861313868614</v>
      </c>
      <c r="N7" t="s">
        <v>316</v>
      </c>
      <c r="O7" s="13">
        <f>'DCF Model'!D86</f>
        <v>242395.24540048058</v>
      </c>
    </row>
    <row r="8" spans="1:15" ht="16.05" customHeight="1">
      <c r="A8" t="s">
        <v>317</v>
      </c>
      <c r="B8" t="s">
        <v>318</v>
      </c>
      <c r="C8" s="478">
        <v>1705759.3</v>
      </c>
      <c r="D8" s="479">
        <v>18.61</v>
      </c>
      <c r="E8" s="480">
        <v>3250000</v>
      </c>
      <c r="F8" s="480">
        <v>4670000</v>
      </c>
      <c r="G8" s="480">
        <v>386130</v>
      </c>
      <c r="H8" s="480">
        <v>2.75</v>
      </c>
      <c r="I8" s="480">
        <v>287730</v>
      </c>
      <c r="J8" s="487">
        <v>14.81</v>
      </c>
      <c r="K8" s="481">
        <v>8.4168544272654291</v>
      </c>
      <c r="L8" s="481">
        <v>6.7672727272727267</v>
      </c>
      <c r="N8" t="s">
        <v>251</v>
      </c>
      <c r="O8" s="92">
        <f>'DCF Model'!D87</f>
        <v>45152</v>
      </c>
    </row>
    <row r="9" spans="1:15" ht="16.05" customHeight="1">
      <c r="A9" t="s">
        <v>319</v>
      </c>
      <c r="B9" t="s">
        <v>320</v>
      </c>
      <c r="C9" s="478">
        <v>1156493.7009999999</v>
      </c>
      <c r="D9" s="479">
        <v>50.145000000000003</v>
      </c>
      <c r="E9" s="480">
        <v>2660000</v>
      </c>
      <c r="F9" s="480">
        <v>1790000</v>
      </c>
      <c r="G9" s="480">
        <v>110730</v>
      </c>
      <c r="H9" s="480">
        <v>4.53</v>
      </c>
      <c r="I9" s="480">
        <v>106100</v>
      </c>
      <c r="J9" s="487">
        <v>90.1</v>
      </c>
      <c r="K9" s="481">
        <v>24.022396821096361</v>
      </c>
      <c r="L9" s="481">
        <v>11.069536423841059</v>
      </c>
    </row>
    <row r="10" spans="1:15" ht="16.05" customHeight="1">
      <c r="A10" t="s">
        <v>321</v>
      </c>
      <c r="B10" t="s">
        <v>322</v>
      </c>
      <c r="C10" s="478">
        <v>636461.89099999995</v>
      </c>
      <c r="D10" s="479">
        <v>24.21</v>
      </c>
      <c r="E10" s="480">
        <v>1430000</v>
      </c>
      <c r="F10" s="480">
        <v>2370000</v>
      </c>
      <c r="G10" s="480">
        <v>55770</v>
      </c>
      <c r="H10" s="480">
        <v>1.54</v>
      </c>
      <c r="I10" s="480">
        <v>45590</v>
      </c>
      <c r="J10" s="487">
        <v>41.96</v>
      </c>
      <c r="K10" s="481">
        <v>25.641025641025642</v>
      </c>
      <c r="L10" s="481">
        <v>15.720779220779221</v>
      </c>
    </row>
    <row r="11" spans="1:15" ht="16.05" customHeight="1">
      <c r="A11" t="s">
        <v>323</v>
      </c>
      <c r="B11" t="s">
        <v>324</v>
      </c>
      <c r="C11" s="478">
        <v>670569.402</v>
      </c>
      <c r="D11" s="479">
        <v>115.26</v>
      </c>
      <c r="E11" s="480">
        <v>1360000</v>
      </c>
      <c r="F11" s="480">
        <v>2980000</v>
      </c>
      <c r="G11" s="480">
        <v>122750</v>
      </c>
      <c r="H11" s="480">
        <v>7.41</v>
      </c>
      <c r="I11" s="480">
        <v>62760</v>
      </c>
      <c r="J11" s="487">
        <v>117.1</v>
      </c>
      <c r="K11" s="481">
        <v>11.079429735234216</v>
      </c>
      <c r="L11" s="481">
        <v>15.554655870445345</v>
      </c>
    </row>
    <row r="12" spans="1:15" ht="16.05" customHeight="1">
      <c r="A12" t="s">
        <v>325</v>
      </c>
      <c r="B12" t="s">
        <v>326</v>
      </c>
      <c r="C12" s="478">
        <v>928221.86100000003</v>
      </c>
      <c r="D12" s="479">
        <v>18.149999999999999</v>
      </c>
      <c r="E12" s="480">
        <v>1270000</v>
      </c>
      <c r="F12" s="480">
        <v>998170</v>
      </c>
      <c r="G12" s="480">
        <v>89550</v>
      </c>
      <c r="H12" s="480">
        <v>1.26</v>
      </c>
      <c r="I12" s="480">
        <v>11280</v>
      </c>
      <c r="J12" s="487">
        <v>9.11</v>
      </c>
      <c r="K12" s="483">
        <v>14.182021217197097</v>
      </c>
      <c r="L12" s="483">
        <v>14.404761904761903</v>
      </c>
    </row>
    <row r="13" spans="1:15" ht="16.05" customHeight="1">
      <c r="J13" s="490" t="s">
        <v>327</v>
      </c>
      <c r="K13" s="484">
        <f>AVERAGE(K4:K12)</f>
        <v>13.437491053336723</v>
      </c>
      <c r="L13" s="484">
        <f>AVERAGE(L4:L12)</f>
        <v>11.061415288142138</v>
      </c>
    </row>
    <row r="14" spans="1:15" ht="16.05" customHeight="1" thickBot="1">
      <c r="J14" s="491" t="s">
        <v>328</v>
      </c>
      <c r="K14" s="485">
        <f>MEDIAN(K4:K12)</f>
        <v>11.079429735234216</v>
      </c>
      <c r="L14" s="485">
        <f>MEDIAN(L4:L12)</f>
        <v>9.9498525073746293</v>
      </c>
    </row>
    <row r="15" spans="1:15" ht="16.05" customHeight="1" thickTop="1">
      <c r="J15" s="488" t="s">
        <v>360</v>
      </c>
      <c r="K15" s="489">
        <f>((K14*G3)-$O$4-$O$5-$O$6+$O$7)/$O$8</f>
        <v>103.02653972000692</v>
      </c>
      <c r="L15" s="489">
        <f>L14*H3</f>
        <v>67.718731713683567</v>
      </c>
    </row>
    <row r="16" spans="1:15" ht="16.05" customHeight="1">
      <c r="K16" s="64"/>
      <c r="L16" s="64"/>
    </row>
    <row r="17" spans="5:12" ht="16.05" customHeight="1">
      <c r="E17" s="91"/>
      <c r="K17" s="519" t="s">
        <v>329</v>
      </c>
      <c r="L17" s="519"/>
    </row>
    <row r="18" spans="5:12" ht="16.05" customHeight="1">
      <c r="E18" s="90"/>
      <c r="J18" s="64"/>
      <c r="K18" s="508">
        <f>AVERAGE(K15:L15)</f>
        <v>85.372635716845252</v>
      </c>
      <c r="L18" s="508"/>
    </row>
    <row r="19" spans="5:12" ht="16.05" customHeight="1">
      <c r="J19" s="64"/>
      <c r="K19" s="64"/>
      <c r="L19" s="74"/>
    </row>
    <row r="20" spans="5:12" ht="16.05" customHeight="1">
      <c r="K20" s="8"/>
    </row>
    <row r="21" spans="5:12" ht="16.05" customHeight="1">
      <c r="K21" s="64"/>
    </row>
  </sheetData>
  <mergeCells count="2">
    <mergeCell ref="N2:O2"/>
    <mergeCell ref="K17:L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07B73-9C4F-47FA-8592-50C8E836E6DE}">
  <sheetPr>
    <tabColor rgb="FFD4EEF8"/>
    <pageSetUpPr autoPageBreaks="0"/>
  </sheetPr>
  <dimension ref="A1:P14"/>
  <sheetViews>
    <sheetView showGridLines="0" workbookViewId="0">
      <selection activeCell="J18" sqref="J18"/>
    </sheetView>
  </sheetViews>
  <sheetFormatPr defaultColWidth="16.77734375" defaultRowHeight="16.05" customHeight="1"/>
  <cols>
    <col min="1" max="1" width="8.5546875" customWidth="1"/>
    <col min="2" max="16" width="9.77734375" customWidth="1"/>
  </cols>
  <sheetData>
    <row r="1" spans="1:16" s="14" customFormat="1" ht="30" customHeight="1">
      <c r="A1" s="291" t="s">
        <v>357</v>
      </c>
      <c r="B1" s="291"/>
      <c r="C1" s="291"/>
      <c r="D1" s="291"/>
      <c r="E1" s="291"/>
      <c r="F1" s="291"/>
      <c r="G1" s="291"/>
      <c r="H1" s="291"/>
      <c r="I1" s="291"/>
      <c r="J1" s="291"/>
      <c r="K1" s="291"/>
      <c r="L1" s="291"/>
    </row>
    <row r="2" spans="1:16" ht="15" customHeight="1"/>
    <row r="3" spans="1:16" ht="16.05" customHeight="1">
      <c r="B3" s="509" t="s">
        <v>290</v>
      </c>
      <c r="C3" s="509"/>
      <c r="D3" s="509"/>
      <c r="E3" s="509"/>
      <c r="F3" s="509"/>
      <c r="G3" s="509"/>
      <c r="H3" s="509"/>
      <c r="J3" s="509" t="s">
        <v>358</v>
      </c>
      <c r="K3" s="509"/>
      <c r="L3" s="509"/>
      <c r="M3" s="509"/>
      <c r="N3" s="509"/>
      <c r="O3" s="509"/>
      <c r="P3" s="509"/>
    </row>
    <row r="4" spans="1:16" ht="16.05" customHeight="1" thickBot="1">
      <c r="C4" s="521" t="s">
        <v>291</v>
      </c>
      <c r="D4" s="521"/>
      <c r="E4" s="521"/>
      <c r="F4" s="521"/>
      <c r="G4" s="521"/>
      <c r="H4" s="521"/>
      <c r="K4" s="521" t="s">
        <v>72</v>
      </c>
      <c r="L4" s="521"/>
      <c r="M4" s="521"/>
      <c r="N4" s="521"/>
      <c r="O4" s="521"/>
      <c r="P4" s="521"/>
    </row>
    <row r="5" spans="1:16" ht="16.05" customHeight="1">
      <c r="B5" s="520" t="s">
        <v>264</v>
      </c>
      <c r="C5" s="96" t="s">
        <v>359</v>
      </c>
      <c r="D5" s="126" cm="1">
        <f t="array" ref="D5:H5">'DCF Model'!D102:H102</f>
        <v>0.01</v>
      </c>
      <c r="E5" s="126">
        <v>5.0000000000000001E-3</v>
      </c>
      <c r="F5" s="126">
        <v>0</v>
      </c>
      <c r="G5" s="126">
        <v>-5.0000000000000001E-3</v>
      </c>
      <c r="H5" s="126">
        <v>-0.01</v>
      </c>
      <c r="J5" s="520" t="s">
        <v>293</v>
      </c>
      <c r="K5" s="96" t="s">
        <v>359</v>
      </c>
      <c r="L5" s="126" cm="1">
        <f t="array" ref="L5:P5">'DCF Model'!D111:H111</f>
        <v>0.05</v>
      </c>
      <c r="M5" s="126">
        <v>2.5000000000000001E-2</v>
      </c>
      <c r="N5" s="126">
        <v>0</v>
      </c>
      <c r="O5" s="126">
        <v>-2.5000000000000001E-2</v>
      </c>
      <c r="P5" s="126">
        <v>-0.05</v>
      </c>
    </row>
    <row r="6" spans="1:16" ht="16.05" customHeight="1">
      <c r="B6" s="520"/>
      <c r="C6" s="125" cm="1">
        <f t="array" ref="C6:C10">'DCF Model'!C103:C107</f>
        <v>-0.02</v>
      </c>
      <c r="D6" s="124" cm="1">
        <f t="array" ref="D6:H10">'DCF Model'!D103:H107</f>
        <v>91.989225134379353</v>
      </c>
      <c r="E6" s="124">
        <v>88.218438665436054</v>
      </c>
      <c r="F6" s="124">
        <v>85.001631090300734</v>
      </c>
      <c r="G6" s="124">
        <v>82.225076023978886</v>
      </c>
      <c r="H6" s="124">
        <v>79.804182542788553</v>
      </c>
      <c r="J6" s="520"/>
      <c r="K6" s="125" cm="1">
        <f t="array" ref="K6:K10">'DCF Model'!C112:C116</f>
        <v>0.05</v>
      </c>
      <c r="L6" s="127" cm="1">
        <f t="array" ref="L6:P10">'DCF Model'!D112:H116</f>
        <v>91.345080986632681</v>
      </c>
      <c r="M6" s="127">
        <v>88.515808488228004</v>
      </c>
      <c r="N6" s="127">
        <v>85.686307425748126</v>
      </c>
      <c r="O6" s="127">
        <v>82.857033824511134</v>
      </c>
      <c r="P6" s="127">
        <v>80.027650028310504</v>
      </c>
    </row>
    <row r="7" spans="1:16" ht="16.05" customHeight="1">
      <c r="B7" s="520"/>
      <c r="C7" s="125">
        <v>-0.01</v>
      </c>
      <c r="D7" s="124">
        <v>89.187207991413445</v>
      </c>
      <c r="E7" s="124">
        <v>85.613533961257687</v>
      </c>
      <c r="F7" s="124">
        <v>82.564880375076001</v>
      </c>
      <c r="G7" s="124">
        <v>79.933465731066121</v>
      </c>
      <c r="H7" s="124">
        <v>77.639120974406453</v>
      </c>
      <c r="J7" s="520"/>
      <c r="K7" s="125">
        <v>2.5000000000000001E-2</v>
      </c>
      <c r="L7" s="127">
        <v>87.970184402650716</v>
      </c>
      <c r="M7" s="127">
        <v>85.413556528986859</v>
      </c>
      <c r="N7" s="127">
        <v>82.857040099295816</v>
      </c>
      <c r="O7" s="127">
        <v>80.300412225631916</v>
      </c>
      <c r="P7" s="127">
        <v>77.743777280652395</v>
      </c>
    </row>
    <row r="8" spans="1:16" ht="16.05" customHeight="1">
      <c r="B8" s="520"/>
      <c r="C8" s="125">
        <v>0</v>
      </c>
      <c r="D8" s="124">
        <v>86.548197171442041</v>
      </c>
      <c r="E8" s="124">
        <v>83.159718712262688</v>
      </c>
      <c r="F8" s="124">
        <v>80.269052994263134</v>
      </c>
      <c r="G8" s="124">
        <v>77.774003987790636</v>
      </c>
      <c r="H8" s="124">
        <v>75.598557173036383</v>
      </c>
      <c r="J8" s="520"/>
      <c r="K8" s="125">
        <v>0</v>
      </c>
      <c r="L8" s="127">
        <v>84.881994663336386</v>
      </c>
      <c r="M8" s="127">
        <v>82.575527906186068</v>
      </c>
      <c r="N8" s="127">
        <v>80.269052994263134</v>
      </c>
      <c r="O8" s="127">
        <v>77.962585487328198</v>
      </c>
      <c r="P8" s="127">
        <v>75.656228925141519</v>
      </c>
    </row>
    <row r="9" spans="1:16" ht="16.05" customHeight="1">
      <c r="B9" s="520"/>
      <c r="C9" s="125">
        <v>0.01</v>
      </c>
      <c r="D9" s="124">
        <v>84.061238993587494</v>
      </c>
      <c r="E9" s="124">
        <v>80.846855545691554</v>
      </c>
      <c r="F9" s="124">
        <v>78.104707956655886</v>
      </c>
      <c r="G9" s="124">
        <v>75.737850877671605</v>
      </c>
      <c r="H9" s="124">
        <v>73.674175302523466</v>
      </c>
      <c r="J9" s="520"/>
      <c r="K9" s="125">
        <v>-2.5000000000000001E-2</v>
      </c>
      <c r="L9" s="127">
        <v>82.061205069577795</v>
      </c>
      <c r="M9" s="127">
        <v>79.983805052810638</v>
      </c>
      <c r="N9" s="127">
        <v>77.906402184977225</v>
      </c>
      <c r="O9" s="127">
        <v>75.829113278510491</v>
      </c>
      <c r="P9" s="127">
        <v>73.751593497445612</v>
      </c>
    </row>
    <row r="10" spans="1:16" ht="16.05" customHeight="1">
      <c r="B10" s="520"/>
      <c r="C10" s="125">
        <v>0.02</v>
      </c>
      <c r="D10" s="124">
        <v>81.716207003767039</v>
      </c>
      <c r="E10" s="124">
        <v>78.665571944570544</v>
      </c>
      <c r="F10" s="124">
        <v>76.063115918958815</v>
      </c>
      <c r="G10" s="124">
        <v>73.816832206297491</v>
      </c>
      <c r="H10" s="124">
        <v>71.858285205790978</v>
      </c>
      <c r="J10" s="520"/>
      <c r="K10" s="125">
        <v>-0.05</v>
      </c>
      <c r="L10" s="127">
        <v>79.489816548211039</v>
      </c>
      <c r="M10" s="127">
        <v>77.621836725525398</v>
      </c>
      <c r="N10" s="127">
        <v>75.753739449064938</v>
      </c>
      <c r="O10" s="127">
        <v>73.885530916127209</v>
      </c>
      <c r="P10" s="127">
        <v>72.017432225105395</v>
      </c>
    </row>
    <row r="12" spans="1:16" ht="16.05" customHeight="1">
      <c r="F12" s="8"/>
      <c r="G12" s="8"/>
    </row>
    <row r="14" spans="1:16" ht="16.05" customHeight="1">
      <c r="I14" t="s">
        <v>57</v>
      </c>
    </row>
  </sheetData>
  <mergeCells count="6">
    <mergeCell ref="B5:B10"/>
    <mergeCell ref="J5:J10"/>
    <mergeCell ref="K4:P4"/>
    <mergeCell ref="J3:P3"/>
    <mergeCell ref="B3:H3"/>
    <mergeCell ref="C4:H4"/>
  </mergeCells>
  <conditionalFormatting sqref="D6:H10">
    <cfRule type="colorScale" priority="2">
      <colorScale>
        <cfvo type="min"/>
        <cfvo type="percentile" val="50"/>
        <cfvo type="max"/>
        <color rgb="FFF8696B"/>
        <color rgb="FFFFEB84"/>
        <color rgb="FF63BE7B"/>
      </colorScale>
    </cfRule>
  </conditionalFormatting>
  <conditionalFormatting sqref="L6:P10">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546BE-BD0B-4C0F-BCEF-8E4D94B2F24A}">
  <sheetPr>
    <tabColor rgb="FFD4EEF8"/>
  </sheetPr>
  <dimension ref="A1:BM19"/>
  <sheetViews>
    <sheetView showGridLines="0" workbookViewId="0">
      <selection activeCell="C29" sqref="C29"/>
    </sheetView>
  </sheetViews>
  <sheetFormatPr defaultColWidth="16.77734375" defaultRowHeight="16.05" customHeight="1"/>
  <cols>
    <col min="1" max="1" width="35.6640625" customWidth="1"/>
  </cols>
  <sheetData>
    <row r="1" spans="1:65" ht="30" customHeight="1">
      <c r="A1" s="291" t="s">
        <v>128</v>
      </c>
      <c r="B1" s="291"/>
      <c r="C1" s="291"/>
      <c r="D1" s="291"/>
      <c r="E1" s="291"/>
      <c r="F1" s="291"/>
      <c r="G1" s="291"/>
      <c r="H1" s="291"/>
      <c r="I1" s="291"/>
      <c r="J1" s="291"/>
      <c r="K1" s="291"/>
      <c r="L1" s="291"/>
      <c r="M1" s="291"/>
      <c r="N1" s="291"/>
      <c r="O1" s="14"/>
    </row>
    <row r="2" spans="1:65" s="152" customFormat="1" ht="16.05" customHeight="1" thickBot="1">
      <c r="A2" s="232"/>
      <c r="B2" s="243">
        <v>2018</v>
      </c>
      <c r="C2" s="243">
        <v>2019</v>
      </c>
      <c r="D2" s="243">
        <v>2020</v>
      </c>
      <c r="E2" s="243">
        <v>2021</v>
      </c>
      <c r="F2" s="243">
        <v>2022</v>
      </c>
      <c r="G2" s="243">
        <v>2023</v>
      </c>
      <c r="H2" s="245">
        <v>2024</v>
      </c>
      <c r="I2" s="243" t="s">
        <v>59</v>
      </c>
      <c r="J2" s="243" t="s">
        <v>60</v>
      </c>
      <c r="K2" s="243" t="s">
        <v>61</v>
      </c>
      <c r="L2" s="243" t="s">
        <v>62</v>
      </c>
      <c r="M2" s="243" t="s">
        <v>63</v>
      </c>
      <c r="N2" s="243" t="s">
        <v>64</v>
      </c>
      <c r="O2" s="243" t="s">
        <v>65</v>
      </c>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row>
    <row r="3" spans="1:65" ht="16.05" customHeight="1">
      <c r="A3" s="354" t="s">
        <v>128</v>
      </c>
      <c r="B3" s="355"/>
      <c r="C3" s="355"/>
      <c r="D3" s="355"/>
      <c r="E3" s="355"/>
      <c r="F3" s="355"/>
      <c r="G3" s="355"/>
      <c r="H3" s="359"/>
      <c r="I3" s="361"/>
      <c r="J3" s="362"/>
      <c r="K3" s="362"/>
      <c r="L3" s="362"/>
      <c r="M3" s="362"/>
      <c r="N3" s="362"/>
      <c r="O3" s="362"/>
    </row>
    <row r="4" spans="1:65" s="339" customFormat="1" ht="16.05" customHeight="1">
      <c r="A4" s="345" t="s">
        <v>72</v>
      </c>
      <c r="B4" s="340">
        <f>'Ratio Analysis'!C3</f>
        <v>0.20898040077159033</v>
      </c>
      <c r="C4" s="340">
        <f>'Ratio Analysis'!D3</f>
        <v>0.21357906171841448</v>
      </c>
      <c r="D4" s="340">
        <f>'Ratio Analysis'!E3</f>
        <v>0.24036777897196884</v>
      </c>
      <c r="E4" s="340">
        <f>'Ratio Analysis'!F3</f>
        <v>0.25808339439836453</v>
      </c>
      <c r="F4" s="340">
        <f>'Ratio Analysis'!G3</f>
        <v>0.29754641189264036</v>
      </c>
      <c r="G4" s="340">
        <f>'Ratio Analysis'!H3</f>
        <v>0.30836413138250895</v>
      </c>
      <c r="H4" s="360">
        <f>'Ratio Analysis'!I3</f>
        <v>0.33517870661566324</v>
      </c>
      <c r="I4" s="347">
        <f>'Ratio Analysis'!J3</f>
        <v>0.316</v>
      </c>
      <c r="J4" s="347">
        <f>'Ratio Analysis'!K3</f>
        <v>0.3</v>
      </c>
      <c r="K4" s="347">
        <f>'Ratio Analysis'!L3</f>
        <v>0.28999999999999998</v>
      </c>
      <c r="L4" s="347">
        <f>'Ratio Analysis'!M3</f>
        <v>0.28000000000000003</v>
      </c>
      <c r="M4" s="347">
        <f>'Ratio Analysis'!N3</f>
        <v>0.27226248571889383</v>
      </c>
      <c r="N4" s="347">
        <f>'Ratio Analysis'!O3</f>
        <v>0.27226248571889383</v>
      </c>
      <c r="O4" s="347">
        <f>'Ratio Analysis'!P3</f>
        <v>0.27226248571889383</v>
      </c>
    </row>
    <row r="5" spans="1:65" s="341" customFormat="1" ht="16.05" customHeight="1">
      <c r="A5" s="346" t="s">
        <v>68</v>
      </c>
      <c r="B5" s="340">
        <f>'Inc. Stmt.'!B43</f>
        <v>0.13567611164649232</v>
      </c>
      <c r="C5" s="340">
        <f>'Inc. Stmt.'!C43</f>
        <v>0.11041103504029508</v>
      </c>
      <c r="D5" s="340">
        <f>'Inc. Stmt.'!D43</f>
        <v>0.15007771349182036</v>
      </c>
      <c r="E5" s="340">
        <f>'Inc. Stmt.'!E43</f>
        <v>0.18514109586306987</v>
      </c>
      <c r="F5" s="340">
        <f>'Inc. Stmt.'!F43</f>
        <v>0.22689361033978403</v>
      </c>
      <c r="G5" s="340">
        <f>'Inc. Stmt.'!G43</f>
        <v>0.22211609317605233</v>
      </c>
      <c r="H5" s="350">
        <f>'Inc. Stmt.'!H43</f>
        <v>0.24619963476854778</v>
      </c>
      <c r="I5" s="348">
        <f>'Inc. Stmt.'!I43</f>
        <v>0.20978840559929349</v>
      </c>
      <c r="J5" s="348">
        <f>'Inc. Stmt.'!J43</f>
        <v>0.2052746584616815</v>
      </c>
      <c r="K5" s="348">
        <f>'Inc. Stmt.'!K43</f>
        <v>0.19849511669960149</v>
      </c>
      <c r="L5" s="348">
        <f>'Inc. Stmt.'!L43</f>
        <v>0.19171557493752248</v>
      </c>
      <c r="M5" s="348">
        <f>'Inc. Stmt.'!M43</f>
        <v>0.1866444859094725</v>
      </c>
      <c r="N5" s="348">
        <f>'Inc. Stmt.'!N43</f>
        <v>0.18664448590947247</v>
      </c>
      <c r="O5" s="348">
        <f>'Inc. Stmt.'!O43</f>
        <v>0.18664448590947247</v>
      </c>
    </row>
    <row r="6" spans="1:65" s="339" customFormat="1" ht="16.05" customHeight="1">
      <c r="A6" s="345" t="s">
        <v>129</v>
      </c>
      <c r="B6" s="340">
        <f>'Inc. Stmt.'!B17/'Inc. Stmt.'!B5</f>
        <v>0.10348001353329687</v>
      </c>
      <c r="C6" s="340">
        <f>'Inc. Stmt.'!C17/'Inc. Stmt.'!C5</f>
        <v>8.1224262941161612E-2</v>
      </c>
      <c r="D6" s="340">
        <f>'Inc. Stmt.'!D17/'Inc. Stmt.'!D5</f>
        <v>0.12069105070485164</v>
      </c>
      <c r="E6" s="340">
        <f>'Inc. Stmt.'!E17/'Inc. Stmt.'!E5</f>
        <v>0.14568714554957102</v>
      </c>
      <c r="F6" s="340">
        <f>'Inc. Stmt.'!F17/'Inc. Stmt.'!F5</f>
        <v>0.17863138606195383</v>
      </c>
      <c r="G6" s="340">
        <f>'Inc. Stmt.'!G17/'Inc. Stmt.'!G5</f>
        <v>0.17251126449195875</v>
      </c>
      <c r="H6" s="350">
        <f>'Inc. Stmt.'!H17/'Inc. Stmt.'!H5</f>
        <v>0.1987452732160902</v>
      </c>
      <c r="I6" s="347">
        <f>'Inc. Stmt.'!I17/'Inc. Stmt.'!I5</f>
        <v>0.16000231668853845</v>
      </c>
      <c r="J6" s="347">
        <f>'Inc. Stmt.'!J17/'Inc. Stmt.'!J5</f>
        <v>0.1565284831196872</v>
      </c>
      <c r="K6" s="347">
        <f>'Inc. Stmt.'!K17/'Inc. Stmt.'!K5</f>
        <v>0.15131086701569732</v>
      </c>
      <c r="L6" s="347">
        <f>'Inc. Stmt.'!L17/'Inc. Stmt.'!L5</f>
        <v>0.14609325091170822</v>
      </c>
      <c r="M6" s="347">
        <f>'Inc. Stmt.'!M17/'Inc. Stmt.'!M5</f>
        <v>0.14219048038442669</v>
      </c>
      <c r="N6" s="347">
        <f>'Inc. Stmt.'!N17/'Inc. Stmt.'!N5</f>
        <v>0.14219048038442669</v>
      </c>
      <c r="O6" s="347">
        <f>'Inc. Stmt.'!O17/'Inc. Stmt.'!O5</f>
        <v>0.14219048038442669</v>
      </c>
    </row>
    <row r="7" spans="1:65" s="341" customFormat="1" ht="16.05" customHeight="1">
      <c r="A7" s="346" t="s">
        <v>130</v>
      </c>
      <c r="B7" s="343">
        <f>'Inc. Stmt.'!B5/'Bal. Sheet'!B16</f>
        <v>0.79544173279967756</v>
      </c>
      <c r="C7" s="343">
        <f>'Inc. Stmt.'!C5/(('Bal. Sheet'!C16+'Bal. Sheet'!B16)/2)</f>
        <v>0.95405723789065211</v>
      </c>
      <c r="D7" s="343">
        <f>'Inc. Stmt.'!D5/(('Bal. Sheet'!D16+'Bal. Sheet'!C16)/2)</f>
        <v>1.0470160149239482</v>
      </c>
      <c r="E7" s="343">
        <f>'Inc. Stmt.'!E5/(('Bal. Sheet'!E16+'Bal. Sheet'!D16)/2)</f>
        <v>1.163867634236164</v>
      </c>
      <c r="F7" s="343">
        <f>'Inc. Stmt.'!F5/(('Bal. Sheet'!F16+'Bal. Sheet'!E16)/2)</f>
        <v>1.1423356691801445</v>
      </c>
      <c r="G7" s="343">
        <f>'Inc. Stmt.'!G5/(('Bal. Sheet'!G16+'Bal. Sheet'!F16)/2)</f>
        <v>0.99913250135520315</v>
      </c>
      <c r="H7" s="351">
        <f>'Inc. Stmt.'!H5/(('Bal. Sheet'!H16+'Bal. Sheet'!G16)/2)</f>
        <v>1.0108504425660985</v>
      </c>
      <c r="I7" s="349">
        <f>'Inc. Stmt.'!I5/(('Bal. Sheet'!I16+'Bal. Sheet'!H16)/2)</f>
        <v>0.87956515365415999</v>
      </c>
      <c r="J7" s="349">
        <f>'Inc. Stmt.'!J5/(('Bal. Sheet'!J16+'Bal. Sheet'!I16)/2)</f>
        <v>0.82866737002948609</v>
      </c>
      <c r="K7" s="349">
        <f>'Inc. Stmt.'!K5/(('Bal. Sheet'!K16+'Bal. Sheet'!J16)/2)</f>
        <v>0.81904956210255075</v>
      </c>
      <c r="L7" s="349">
        <f>'Inc. Stmt.'!L5/(('Bal. Sheet'!L16+'Bal. Sheet'!K16)/2)</f>
        <v>0.84253226784928548</v>
      </c>
      <c r="M7" s="349">
        <f>'Inc. Stmt.'!M5/(('Bal. Sheet'!M16+'Bal. Sheet'!L16)/2)</f>
        <v>0.86190749557192969</v>
      </c>
      <c r="N7" s="349">
        <f>'Inc. Stmt.'!N5/(('Bal. Sheet'!N16+'Bal. Sheet'!M16)/2)</f>
        <v>0.88256424681316847</v>
      </c>
      <c r="O7" s="349">
        <f>'Inc. Stmt.'!O5/(('Bal. Sheet'!O16+'Bal. Sheet'!N16)/2)</f>
        <v>0.88983320929430421</v>
      </c>
    </row>
    <row r="8" spans="1:65" s="341" customFormat="1" ht="16.05" customHeight="1">
      <c r="A8" s="346" t="s">
        <v>131</v>
      </c>
      <c r="B8" s="343">
        <f>'Ratio Analysis'!C40</f>
        <v>0.73743760847044892</v>
      </c>
      <c r="C8" s="343">
        <f>'Ratio Analysis'!D40</f>
        <v>0.8261747130646645</v>
      </c>
      <c r="D8" s="343">
        <f>'Ratio Analysis'!E40</f>
        <v>0.87779573425207336</v>
      </c>
      <c r="E8" s="343">
        <f>'Ratio Analysis'!F40</f>
        <v>0.86465051094793488</v>
      </c>
      <c r="F8" s="343">
        <f>'Ratio Analysis'!G40</f>
        <v>0.86791688925127219</v>
      </c>
      <c r="G8" s="343">
        <f>'Ratio Analysis'!H40</f>
        <v>0.80192379060319341</v>
      </c>
      <c r="H8" s="351">
        <f>'Ratio Analysis'!I40</f>
        <v>0.72013157650283943</v>
      </c>
      <c r="I8" s="349">
        <f>'Ratio Analysis'!J40</f>
        <v>0.6740425977770006</v>
      </c>
      <c r="J8" s="349">
        <f>'Ratio Analysis'!K40</f>
        <v>0.69</v>
      </c>
      <c r="K8" s="349">
        <f>'Ratio Analysis'!L40</f>
        <v>0.66</v>
      </c>
      <c r="L8" s="349">
        <f>'Ratio Analysis'!M40</f>
        <v>0.66</v>
      </c>
      <c r="M8" s="349">
        <f>'Ratio Analysis'!N40</f>
        <v>0.69499999999999995</v>
      </c>
      <c r="N8" s="349">
        <f>'Ratio Analysis'!O40</f>
        <v>0.7</v>
      </c>
      <c r="O8" s="349">
        <f>'Ratio Analysis'!P40</f>
        <v>0.72</v>
      </c>
    </row>
    <row r="9" spans="1:65" s="339" customFormat="1" ht="16.05" customHeight="1">
      <c r="A9" s="345" t="s">
        <v>132</v>
      </c>
      <c r="B9" s="340">
        <f>'Inc. Stmt.'!B17/'Bal. Sheet'!B16</f>
        <v>8.231232127505976E-2</v>
      </c>
      <c r="C9" s="340">
        <f>'Inc. Stmt.'!C17/'Bal. Sheet'!C16</f>
        <v>7.3442759260295656E-2</v>
      </c>
      <c r="D9" s="340">
        <f>'Inc. Stmt.'!D17/'Bal. Sheet'!D16</f>
        <v>0.11912560790496407</v>
      </c>
      <c r="E9" s="340">
        <f>'Inc. Stmt.'!E17/'Bal. Sheet'!E16</f>
        <v>0.1437412922586993</v>
      </c>
      <c r="F9" s="340">
        <f>'Inc. Stmt.'!F17/'Bal. Sheet'!F16</f>
        <v>0.18964893472450814</v>
      </c>
      <c r="G9" s="340">
        <f>'Inc. Stmt.'!G17/'Bal. Sheet'!G16</f>
        <v>0.16116767008332844</v>
      </c>
      <c r="H9" s="350">
        <f>'Inc. Stmt.'!H17/'Bal. Sheet'!H16</f>
        <v>0.18540271662946656</v>
      </c>
      <c r="I9" s="347">
        <f>'Inc. Stmt.'!I17/'Bal. Sheet'!I16</f>
        <v>0.13344561193409535</v>
      </c>
      <c r="J9" s="347">
        <f>'Inc. Stmt.'!J17/'Bal. Sheet'!J16</f>
        <v>0.12810726240876094</v>
      </c>
      <c r="K9" s="347">
        <f>'Inc. Stmt.'!K17/'Bal. Sheet'!K16</f>
        <v>0.1218046924227098</v>
      </c>
      <c r="L9" s="347">
        <f>'Inc. Stmt.'!L17/'Bal. Sheet'!L16</f>
        <v>0.11938355253488608</v>
      </c>
      <c r="M9" s="347">
        <f>'Inc. Stmt.'!M17/'Bal. Sheet'!M16</f>
        <v>0.12042650287564341</v>
      </c>
      <c r="N9" s="347">
        <f>'Inc. Stmt.'!N17/'Bal. Sheet'!N16</f>
        <v>0.12313447527003359</v>
      </c>
      <c r="O9" s="347">
        <f>'Inc. Stmt.'!O17/'Bal. Sheet'!O16</f>
        <v>0.12209295872044272</v>
      </c>
    </row>
    <row r="10" spans="1:65" s="341" customFormat="1" ht="16.05" customHeight="1">
      <c r="A10" s="346" t="s">
        <v>133</v>
      </c>
      <c r="B10" s="343">
        <f>'Bal. Sheet'!B16/'Bal. Sheet'!B37</f>
        <v>1.6144446823932526</v>
      </c>
      <c r="C10" s="343">
        <f>'Bal. Sheet'!C16/'Bal. Sheet'!C37</f>
        <v>1.6322654014299165</v>
      </c>
      <c r="D10" s="343">
        <f>'Bal. Sheet'!D16/'Bal. Sheet'!D37</f>
        <v>1.5226875512966405</v>
      </c>
      <c r="E10" s="343">
        <f>'Bal. Sheet'!E16/'Bal. Sheet'!E37</f>
        <v>1.5999511642927713</v>
      </c>
      <c r="F10" s="343">
        <f>'Bal. Sheet'!F16/'Bal. Sheet'!F37</f>
        <v>1.5290469747833193</v>
      </c>
      <c r="G10" s="343">
        <f>'Bal. Sheet'!G16/'Bal. Sheet'!G37</f>
        <v>1.4437126189195402</v>
      </c>
      <c r="H10" s="351">
        <f>'Bal. Sheet'!H16/'Bal. Sheet'!H37</f>
        <v>1.3607841524469384</v>
      </c>
      <c r="I10" s="349">
        <f>'Bal. Sheet'!I16/'Bal. Sheet'!I37</f>
        <v>1.354732798173107</v>
      </c>
      <c r="J10" s="349">
        <f>'Bal. Sheet'!J16/'Bal. Sheet'!J37</f>
        <v>1.2994787516869801</v>
      </c>
      <c r="K10" s="349">
        <f>'Bal. Sheet'!K16/'Bal. Sheet'!K37</f>
        <v>1.2418520015657015</v>
      </c>
      <c r="L10" s="349">
        <f>'Bal. Sheet'!L16/'Bal. Sheet'!L37</f>
        <v>1.2221810951834602</v>
      </c>
      <c r="M10" s="349">
        <f>'Bal. Sheet'!M16/'Bal. Sheet'!M37</f>
        <v>1.1739931991360362</v>
      </c>
      <c r="N10" s="349">
        <f>'Bal. Sheet'!N16/'Bal. Sheet'!N37</f>
        <v>1.1319705339940123</v>
      </c>
      <c r="O10" s="349">
        <f>'Bal. Sheet'!O16/'Bal. Sheet'!O37</f>
        <v>1.1303349343729256</v>
      </c>
    </row>
    <row r="11" spans="1:65" s="339" customFormat="1" ht="16.05" customHeight="1">
      <c r="A11" s="345" t="s">
        <v>134</v>
      </c>
      <c r="B11" s="340">
        <f t="shared" ref="B11:O11" si="0">B6*B7*B10</f>
        <v>0.13288868937796519</v>
      </c>
      <c r="C11" s="340">
        <f t="shared" si="0"/>
        <v>0.12648848323837453</v>
      </c>
      <c r="D11" s="340">
        <f t="shared" si="0"/>
        <v>0.19241511734167752</v>
      </c>
      <c r="E11" s="340">
        <f t="shared" si="0"/>
        <v>0.27128860487749346</v>
      </c>
      <c r="F11" s="340">
        <f t="shared" si="0"/>
        <v>0.31201274454810884</v>
      </c>
      <c r="G11" s="340">
        <f t="shared" si="0"/>
        <v>0.24884063311222934</v>
      </c>
      <c r="H11" s="350">
        <f t="shared" si="0"/>
        <v>0.27338391404503953</v>
      </c>
      <c r="I11" s="347">
        <f t="shared" si="0"/>
        <v>0.19065488239558348</v>
      </c>
      <c r="J11" s="347">
        <f t="shared" si="0"/>
        <v>0.16855544923105545</v>
      </c>
      <c r="K11" s="347">
        <f t="shared" si="0"/>
        <v>0.15390408380957299</v>
      </c>
      <c r="L11" s="347">
        <f t="shared" si="0"/>
        <v>0.15043616642020569</v>
      </c>
      <c r="M11" s="347">
        <f t="shared" si="0"/>
        <v>0.14387878446871205</v>
      </c>
      <c r="N11" s="347">
        <f t="shared" si="0"/>
        <v>0.14205351138719099</v>
      </c>
      <c r="O11" s="347">
        <f t="shared" si="0"/>
        <v>0.14301654482880857</v>
      </c>
    </row>
    <row r="12" spans="1:65" s="341" customFormat="1" ht="16.05" customHeight="1">
      <c r="A12" s="346" t="s">
        <v>135</v>
      </c>
      <c r="B12" s="342">
        <f>('Inc. Stmt.'!B15*(1-23.04%))/(('Bal. Sheet'!B22+'Bal. Sheet'!B23+'Bal. Sheet'!B25)+'Bal. Sheet'!B37-'Bal. Sheet'!B4)</f>
        <v>9.7559539504829554E-2</v>
      </c>
      <c r="C12" s="342">
        <f>('Inc. Stmt.'!C15*(1-23.04%))/(('Bal. Sheet'!C22+'Bal. Sheet'!C23+'Bal. Sheet'!C25)+'Bal. Sheet'!C37-'Bal. Sheet'!C4)</f>
        <v>8.8088081025248455E-2</v>
      </c>
      <c r="D12" s="342">
        <f>('Inc. Stmt.'!D15*(1-23.04%))/(('Bal. Sheet'!D22+'Bal. Sheet'!D23+'Bal. Sheet'!D25)+'Bal. Sheet'!D37-'Bal. Sheet'!D4)</f>
        <v>0.13152628135014757</v>
      </c>
      <c r="E12" s="342">
        <f>('Inc. Stmt.'!E15*(1-23.04%))/(('Bal. Sheet'!E22+'Bal. Sheet'!E23+'Bal. Sheet'!E25)+'Bal. Sheet'!E37-'Bal. Sheet'!E4)</f>
        <v>0.17478610947616247</v>
      </c>
      <c r="F12" s="342">
        <f>('Inc. Stmt.'!F15*(1-23.04%))/(('Bal. Sheet'!F22+'Bal. Sheet'!F23+'Bal. Sheet'!F25)+'Bal. Sheet'!F37-'Bal. Sheet'!F4)</f>
        <v>0.22478443067452394</v>
      </c>
      <c r="G12" s="342">
        <f>('Inc. Stmt.'!G15*(1-23.04%))/(('Bal. Sheet'!G22+'Bal. Sheet'!G23+'Bal. Sheet'!G25)+'Bal. Sheet'!G37-'Bal. Sheet'!G4)</f>
        <v>0.20550812589479836</v>
      </c>
      <c r="H12" s="342">
        <f>('Inc. Stmt.'!H15*(1-23.04%))/(('Bal. Sheet'!H22+'Bal. Sheet'!H23+'Bal. Sheet'!H25)+'Bal. Sheet'!H37-'Bal. Sheet'!H4)</f>
        <v>0.21522650576606622</v>
      </c>
      <c r="I12" s="464">
        <f>('Inc. Stmt.'!I15*(1-23.04%))/(('Bal. Sheet'!I22+'Bal. Sheet'!I23+'Bal. Sheet'!I25)+'Bal. Sheet'!I37-'Bal. Sheet'!I4)</f>
        <v>0.16869365627080257</v>
      </c>
      <c r="J12" s="347">
        <f>('Inc. Stmt.'!J15*(1-23.04%))/(('Bal. Sheet'!J22+'Bal. Sheet'!J23+'Bal. Sheet'!J25)+'Bal. Sheet'!J37-'Bal. Sheet'!J4)</f>
        <v>0.16567692467473974</v>
      </c>
      <c r="K12" s="347">
        <f>('Inc. Stmt.'!K15*(1-23.04%))/(('Bal. Sheet'!K22+'Bal. Sheet'!K23+'Bal. Sheet'!K25)+'Bal. Sheet'!K37-'Bal. Sheet'!K4)</f>
        <v>0.14839925187051725</v>
      </c>
      <c r="L12" s="347">
        <f>('Inc. Stmt.'!L15*(1-23.04%))/(('Bal. Sheet'!L22+'Bal. Sheet'!L23+'Bal. Sheet'!L25)+'Bal. Sheet'!L37-'Bal. Sheet'!L4)</f>
        <v>0.144829528808432</v>
      </c>
      <c r="M12" s="347">
        <f>('Inc. Stmt.'!M15*(1-23.04%))/(('Bal. Sheet'!M22+'Bal. Sheet'!M23+'Bal. Sheet'!M25)+'Bal. Sheet'!M37-'Bal. Sheet'!M4)</f>
        <v>0.14691911149911452</v>
      </c>
      <c r="N12" s="347">
        <f>('Inc. Stmt.'!N15*(1-23.04%))/(('Bal. Sheet'!N22+'Bal. Sheet'!N23+'Bal. Sheet'!N25)+'Bal. Sheet'!N37-'Bal. Sheet'!N4)</f>
        <v>0.1424484274487017</v>
      </c>
      <c r="O12" s="347">
        <f>('Inc. Stmt.'!O15*(1-23.04%))/(('Bal. Sheet'!O22+'Bal. Sheet'!O23+'Bal. Sheet'!O25)+'Bal. Sheet'!O37-'Bal. Sheet'!O4)</f>
        <v>0.14632823338614359</v>
      </c>
    </row>
    <row r="13" spans="1:65" s="344" customFormat="1" ht="16.05" customHeight="1">
      <c r="A13" s="354" t="s">
        <v>136</v>
      </c>
      <c r="B13" s="356"/>
      <c r="C13" s="356"/>
      <c r="D13" s="356"/>
      <c r="E13" s="356"/>
      <c r="F13" s="356"/>
      <c r="G13" s="356"/>
      <c r="H13" s="356"/>
      <c r="I13" s="465"/>
      <c r="J13" s="357"/>
      <c r="K13" s="357"/>
      <c r="L13" s="357"/>
      <c r="M13" s="357"/>
      <c r="N13" s="357"/>
      <c r="O13" s="357"/>
    </row>
    <row r="14" spans="1:65" s="341" customFormat="1" ht="16.05" customHeight="1">
      <c r="A14" s="346" t="s">
        <v>137</v>
      </c>
      <c r="B14" s="352">
        <f>'Ratio Analysis'!C20</f>
        <v>2.5459263842923492</v>
      </c>
      <c r="C14" s="352">
        <f>'Ratio Analysis'!D20</f>
        <v>3.2838775014178077</v>
      </c>
      <c r="D14" s="352">
        <f>'Ratio Analysis'!E20</f>
        <v>4.2231164120090829</v>
      </c>
      <c r="E14" s="352">
        <f>'Ratio Analysis'!F20</f>
        <v>7.5008796860197595</v>
      </c>
      <c r="F14" s="352">
        <f>'Ratio Analysis'!G20</f>
        <v>7.4358890450249282</v>
      </c>
      <c r="G14" s="352">
        <f>'Ratio Analysis'!H20</f>
        <v>8.2829341528730165</v>
      </c>
      <c r="H14" s="352">
        <f>'Ratio Analysis'!I20</f>
        <v>8.4074803850582214</v>
      </c>
      <c r="I14" s="466">
        <f>'Ratio Analysis'!J20</f>
        <v>7.3959591383221905</v>
      </c>
      <c r="J14" s="353">
        <f>'Ratio Analysis'!K20</f>
        <v>8.3351604082551596</v>
      </c>
      <c r="K14" s="353">
        <f>'Ratio Analysis'!L20</f>
        <v>8.9812383572913159</v>
      </c>
      <c r="L14" s="353">
        <f>'Ratio Analysis'!M20</f>
        <v>8.5299256812037676</v>
      </c>
      <c r="M14" s="353">
        <f>'Ratio Analysis'!N20</f>
        <v>8.3035601788061069</v>
      </c>
      <c r="N14" s="353">
        <f>'Ratio Analysis'!O20</f>
        <v>8.1315102362125167</v>
      </c>
      <c r="O14" s="353">
        <f>'Ratio Analysis'!P20</f>
        <v>8.2281556099295301</v>
      </c>
    </row>
    <row r="15" spans="1:65" s="339" customFormat="1" ht="16.05" customHeight="1">
      <c r="A15" s="345" t="s">
        <v>138</v>
      </c>
      <c r="B15" s="352">
        <f>'Ratio Analysis'!C23</f>
        <v>0.22036738326334232</v>
      </c>
      <c r="C15" s="352">
        <f>'Ratio Analysis'!D23</f>
        <v>0.23126873531556347</v>
      </c>
      <c r="D15" s="352">
        <f>'Ratio Analysis'!E23</f>
        <v>0.28489166367480917</v>
      </c>
      <c r="E15" s="352">
        <f>'Ratio Analysis'!F23</f>
        <v>0.71295732395001576</v>
      </c>
      <c r="F15" s="352">
        <f>'Ratio Analysis'!G23</f>
        <v>0.58936649406148334</v>
      </c>
      <c r="G15" s="352">
        <f>'Ratio Analysis'!H23</f>
        <v>1.0669860737868098</v>
      </c>
      <c r="H15" s="352">
        <f>'Ratio Analysis'!I23</f>
        <v>0.74061193079080956</v>
      </c>
      <c r="I15" s="466">
        <f>'Ratio Analysis'!J23</f>
        <v>0.82878697649672339</v>
      </c>
      <c r="J15" s="353">
        <f>'Ratio Analysis'!K23</f>
        <v>1.0635583605237779</v>
      </c>
      <c r="K15" s="353">
        <f>'Ratio Analysis'!L23</f>
        <v>0.80070504736775183</v>
      </c>
      <c r="L15" s="353">
        <f>'Ratio Analysis'!M23</f>
        <v>0.52981005441528528</v>
      </c>
      <c r="M15" s="353">
        <f>'Ratio Analysis'!N23</f>
        <v>0.54461052422864387</v>
      </c>
      <c r="N15" s="353">
        <f>'Ratio Analysis'!O23</f>
        <v>0.40926085314035721</v>
      </c>
      <c r="O15" s="353">
        <f>'Ratio Analysis'!P23</f>
        <v>0.70137980276088119</v>
      </c>
    </row>
    <row r="16" spans="1:65" s="344" customFormat="1" ht="16.05" customHeight="1">
      <c r="A16" s="354" t="s">
        <v>139</v>
      </c>
      <c r="B16" s="358"/>
      <c r="C16" s="358"/>
      <c r="D16" s="358"/>
      <c r="E16" s="358"/>
      <c r="F16" s="358"/>
      <c r="G16" s="358"/>
      <c r="H16" s="358"/>
      <c r="I16" s="467"/>
      <c r="J16" s="357"/>
      <c r="K16" s="357"/>
      <c r="L16" s="357"/>
      <c r="M16" s="357"/>
      <c r="N16" s="357"/>
      <c r="O16" s="357"/>
    </row>
    <row r="17" spans="1:15" s="341" customFormat="1" ht="16.05" customHeight="1">
      <c r="A17" s="346" t="s">
        <v>140</v>
      </c>
      <c r="B17" s="352">
        <f>'Ratio Analysis'!C27</f>
        <v>0.41262931602530312</v>
      </c>
      <c r="C17" s="352">
        <f>'Ratio Analysis'!D27</f>
        <v>0.4437923545148631</v>
      </c>
      <c r="D17" s="352">
        <f>'Ratio Analysis'!E27</f>
        <v>0.33856629643260255</v>
      </c>
      <c r="E17" s="352">
        <f>'Ratio Analysis'!F27</f>
        <v>0.37852624187853184</v>
      </c>
      <c r="F17" s="352">
        <f>'Ratio Analysis'!G27</f>
        <v>0.33970899922886183</v>
      </c>
      <c r="G17" s="352">
        <f>'Ratio Analysis'!H27</f>
        <v>0.26316887617952173</v>
      </c>
      <c r="H17" s="352">
        <f>'Ratio Analysis'!I27</f>
        <v>0.20357748083708407</v>
      </c>
      <c r="I17" s="466">
        <f>'Ratio Analysis'!J27</f>
        <v>0.20248243470810073</v>
      </c>
      <c r="J17" s="353">
        <f>'Ratio Analysis'!K27</f>
        <v>0.14722609094128439</v>
      </c>
      <c r="K17" s="353">
        <f>'Ratio Analysis'!L27</f>
        <v>0.11191288863873834</v>
      </c>
      <c r="L17" s="353">
        <f>'Ratio Analysis'!M27</f>
        <v>6.796767233914415E-2</v>
      </c>
      <c r="M17" s="353">
        <f>'Ratio Analysis'!N27</f>
        <v>2.4577241374058999E-2</v>
      </c>
      <c r="N17" s="353">
        <f>'Ratio Analysis'!O27</f>
        <v>2.3958698640759574E-2</v>
      </c>
      <c r="O17" s="353">
        <f>'Ratio Analysis'!P27</f>
        <v>2.345388999189307E-2</v>
      </c>
    </row>
    <row r="18" spans="1:15" s="339" customFormat="1" ht="16.05" customHeight="1">
      <c r="A18" s="345" t="s">
        <v>141</v>
      </c>
      <c r="B18" s="352">
        <f>'Bal. Sheet'!B25/'Cash Flow Stmt.'!B22</f>
        <v>0</v>
      </c>
      <c r="C18" s="352">
        <f>'Bal. Sheet'!C25/'Cash Flow Stmt.'!C22</f>
        <v>-3.1504721030042919</v>
      </c>
      <c r="D18" s="352">
        <f>'Bal. Sheet'!D25/'Cash Flow Stmt.'!D22</f>
        <v>3.1506142018213281</v>
      </c>
      <c r="E18" s="352">
        <f>'Bal. Sheet'!E25/'Cash Flow Stmt.'!E22</f>
        <v>-3.6454785528760989</v>
      </c>
      <c r="F18" s="352">
        <f>'Bal. Sheet'!F25/'Cash Flow Stmt.'!F22</f>
        <v>3.6748774402521227</v>
      </c>
      <c r="G18" s="352">
        <f>'Bal. Sheet'!G25/'Cash Flow Stmt.'!G22</f>
        <v>1.584387370405278</v>
      </c>
      <c r="H18" s="352">
        <f>'Bal. Sheet'!H25/'Cash Flow Stmt.'!H22</f>
        <v>12.162579805619941</v>
      </c>
      <c r="I18" s="466">
        <f>'Bal. Sheet'!I25/'Cash Flow Stmt.'!I22</f>
        <v>1.4678562208442323</v>
      </c>
      <c r="J18" s="353">
        <f>'Bal. Sheet'!J25/'Cash Flow Stmt.'!J22</f>
        <v>0.75390364342438543</v>
      </c>
      <c r="K18" s="353">
        <f>'Bal. Sheet'!K25/'Cash Flow Stmt.'!K22</f>
        <v>1.1788548702087465</v>
      </c>
      <c r="L18" s="353">
        <f>'Bal. Sheet'!L25/'Cash Flow Stmt.'!L22</f>
        <v>0.68970180882205001</v>
      </c>
      <c r="M18" s="353">
        <f>'Bal. Sheet'!M25/'Cash Flow Stmt.'!M22</f>
        <v>0</v>
      </c>
      <c r="N18" s="353">
        <f>'Bal. Sheet'!N25/'Cash Flow Stmt.'!N22</f>
        <v>0</v>
      </c>
      <c r="O18" s="353">
        <f>'Bal. Sheet'!O25/'Cash Flow Stmt.'!O22</f>
        <v>0</v>
      </c>
    </row>
    <row r="19" spans="1:15" s="341" customFormat="1" ht="16.05" customHeight="1">
      <c r="A19" s="346" t="s">
        <v>142</v>
      </c>
      <c r="B19" s="352">
        <f>('Bal. Sheet'!B22+'Bal. Sheet'!B23+'Bal. Sheet'!B25)/'Cash Flow Stmt.'!B22</f>
        <v>-3.6979774119731306</v>
      </c>
      <c r="C19" s="352">
        <f>('Bal. Sheet'!C22+'Bal. Sheet'!C23+'Bal. Sheet'!C25)/'Cash Flow Stmt.'!C22</f>
        <v>-10.216652360515022</v>
      </c>
      <c r="D19" s="352">
        <f>('Bal. Sheet'!D22+'Bal. Sheet'!D23+'Bal. Sheet'!D25)/'Cash Flow Stmt.'!D22</f>
        <v>6.2375670231779621</v>
      </c>
      <c r="E19" s="352">
        <f>('Bal. Sheet'!E22+'Bal. Sheet'!E23+'Bal. Sheet'!E25)/'Cash Flow Stmt.'!E22</f>
        <v>-3.6557809969896868</v>
      </c>
      <c r="F19" s="352">
        <f>('Bal. Sheet'!F22+'Bal. Sheet'!F23+'Bal. Sheet'!F25)/'Cash Flow Stmt.'!F22</f>
        <v>4.0252341766611224</v>
      </c>
      <c r="G19" s="352">
        <f>('Bal. Sheet'!G22+'Bal. Sheet'!G23+'Bal. Sheet'!G25)/'Cash Flow Stmt.'!G22</f>
        <v>1.6345900094250707</v>
      </c>
      <c r="H19" s="352">
        <f>('Bal. Sheet'!H22+'Bal. Sheet'!H23+'Bal. Sheet'!H25)/'Cash Flow Stmt.'!H22</f>
        <v>13.688178601927534</v>
      </c>
      <c r="I19" s="466">
        <f>('Bal. Sheet'!I22+'Bal. Sheet'!I23+'Bal. Sheet'!I25)/'Cash Flow Stmt.'!I22</f>
        <v>1.8401418840129093</v>
      </c>
      <c r="J19" s="353">
        <f>('Bal. Sheet'!J22+'Bal. Sheet'!J23+'Bal. Sheet'!J25)/'Cash Flow Stmt.'!J22</f>
        <v>0.92790271002729141</v>
      </c>
      <c r="K19" s="353">
        <f>('Bal. Sheet'!K22+'Bal. Sheet'!K23+'Bal. Sheet'!K25)/'Cash Flow Stmt.'!K22</f>
        <v>1.4190074296368795</v>
      </c>
      <c r="L19" s="353">
        <f>('Bal. Sheet'!L22+'Bal. Sheet'!L23+'Bal. Sheet'!L25)/'Cash Flow Stmt.'!L22</f>
        <v>1.0918631528628286</v>
      </c>
      <c r="M19" s="353">
        <f>('Bal. Sheet'!M22+'Bal. Sheet'!M23+'Bal. Sheet'!M25)/'Cash Flow Stmt.'!M22</f>
        <v>0.20296013097785881</v>
      </c>
      <c r="N19" s="353">
        <f>('Bal. Sheet'!N22+'Bal. Sheet'!N23+'Bal. Sheet'!N25)/'Cash Flow Stmt.'!N22</f>
        <v>0.24359791915990733</v>
      </c>
      <c r="O19" s="353">
        <f>('Bal. Sheet'!O22+'Bal. Sheet'!O23+'Bal. Sheet'!O25)/'Cash Flow Stmt.'!O22</f>
        <v>0.21159264134095099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27B8-7E0D-4CBD-A3C3-310634E06DC5}">
  <sheetPr>
    <tabColor rgb="FFD4EEF8"/>
  </sheetPr>
  <dimension ref="A1:P52"/>
  <sheetViews>
    <sheetView showGridLines="0" topLeftCell="A15" workbookViewId="0">
      <selection activeCell="J40" sqref="J40"/>
    </sheetView>
  </sheetViews>
  <sheetFormatPr defaultColWidth="16.77734375" defaultRowHeight="16.05" customHeight="1"/>
  <cols>
    <col min="1" max="1" width="41.6640625" customWidth="1"/>
    <col min="2" max="2" width="63" customWidth="1"/>
    <col min="3" max="16" width="13.33203125" style="10" customWidth="1"/>
  </cols>
  <sheetData>
    <row r="1" spans="1:16" ht="30" customHeight="1">
      <c r="A1" s="434" t="s">
        <v>438</v>
      </c>
      <c r="B1" s="461"/>
      <c r="C1" s="433"/>
      <c r="D1" s="433"/>
      <c r="E1" s="433"/>
      <c r="F1" s="433"/>
      <c r="G1" s="433"/>
      <c r="H1" s="433"/>
      <c r="I1" s="433"/>
      <c r="J1" s="433"/>
      <c r="K1" s="433"/>
      <c r="L1" s="433"/>
      <c r="M1" s="433"/>
      <c r="N1" s="433"/>
      <c r="O1" s="433"/>
      <c r="P1" s="433"/>
    </row>
    <row r="2" spans="1:16" ht="16.05" customHeight="1">
      <c r="A2" s="442" t="s">
        <v>439</v>
      </c>
      <c r="B2" s="442" t="s">
        <v>143</v>
      </c>
      <c r="C2" s="463">
        <v>2018</v>
      </c>
      <c r="D2" s="463">
        <v>2019</v>
      </c>
      <c r="E2" s="463">
        <v>2020</v>
      </c>
      <c r="F2" s="463">
        <v>2021</v>
      </c>
      <c r="G2" s="463">
        <v>2022</v>
      </c>
      <c r="H2" s="463">
        <v>2023</v>
      </c>
      <c r="I2" s="463">
        <v>2024</v>
      </c>
      <c r="J2" s="448" t="s">
        <v>59</v>
      </c>
      <c r="K2" s="447" t="s">
        <v>60</v>
      </c>
      <c r="L2" s="447" t="s">
        <v>61</v>
      </c>
      <c r="M2" s="447" t="s">
        <v>62</v>
      </c>
      <c r="N2" s="447" t="s">
        <v>63</v>
      </c>
      <c r="O2" s="447" t="s">
        <v>64</v>
      </c>
      <c r="P2" s="447" t="s">
        <v>65</v>
      </c>
    </row>
    <row r="3" spans="1:16" ht="16.05" customHeight="1">
      <c r="A3" s="435" t="s">
        <v>72</v>
      </c>
      <c r="B3" s="436" t="s">
        <v>144</v>
      </c>
      <c r="C3" s="440">
        <f>('Inc. Stmt.'!B9/'Inc. Stmt.'!B5)</f>
        <v>0.20898040077159033</v>
      </c>
      <c r="D3" s="440">
        <f>('Inc. Stmt.'!C9/'Inc. Stmt.'!C5)</f>
        <v>0.21357906171841448</v>
      </c>
      <c r="E3" s="440">
        <f>('Inc. Stmt.'!D9/'Inc. Stmt.'!D5)</f>
        <v>0.24036777897196884</v>
      </c>
      <c r="F3" s="440">
        <f>('Inc. Stmt.'!E9/'Inc. Stmt.'!E5)</f>
        <v>0.25808339439836453</v>
      </c>
      <c r="G3" s="440">
        <f>('Inc. Stmt.'!F9/'Inc. Stmt.'!F5)</f>
        <v>0.29754641189264036</v>
      </c>
      <c r="H3" s="440">
        <f>('Inc. Stmt.'!G9/'Inc. Stmt.'!G5)</f>
        <v>0.30836413138250895</v>
      </c>
      <c r="I3" s="440">
        <f>('Inc. Stmt.'!H9/'Inc. Stmt.'!H5)</f>
        <v>0.33517870661566324</v>
      </c>
      <c r="J3" s="446">
        <f>('Inc. Stmt.'!I9/'Inc. Stmt.'!I5)</f>
        <v>0.316</v>
      </c>
      <c r="K3" s="441">
        <f>('Inc. Stmt.'!J9/'Inc. Stmt.'!J5)</f>
        <v>0.3</v>
      </c>
      <c r="L3" s="441">
        <f>('Inc. Stmt.'!K9/'Inc. Stmt.'!K5)</f>
        <v>0.28999999999999998</v>
      </c>
      <c r="M3" s="441">
        <f>('Inc. Stmt.'!L9/'Inc. Stmt.'!L5)</f>
        <v>0.28000000000000003</v>
      </c>
      <c r="N3" s="441">
        <f>('Inc. Stmt.'!M9/'Inc. Stmt.'!M5)</f>
        <v>0.27226248571889383</v>
      </c>
      <c r="O3" s="441">
        <f>('Inc. Stmt.'!N9/'Inc. Stmt.'!N5)</f>
        <v>0.27226248571889383</v>
      </c>
      <c r="P3" s="441">
        <f>('Inc. Stmt.'!O9/'Inc. Stmt.'!O5)</f>
        <v>0.27226248571889383</v>
      </c>
    </row>
    <row r="4" spans="1:16" ht="16.05" customHeight="1">
      <c r="A4" s="435" t="s">
        <v>145</v>
      </c>
      <c r="B4" s="436" t="s">
        <v>146</v>
      </c>
      <c r="C4" s="449">
        <f>('Inc. Stmt.'!B15/'Inc. Stmt.'!B5)*100</f>
        <v>13.095709592125033</v>
      </c>
      <c r="D4" s="449">
        <f>('Inc. Stmt.'!C15/'Inc. Stmt.'!C5)*100</f>
        <v>10.652173913043478</v>
      </c>
      <c r="E4" s="449">
        <f>('Inc. Stmt.'!D15/'Inc. Stmt.'!D5)*100</f>
        <v>14.632164676784617</v>
      </c>
      <c r="F4" s="449">
        <f>('Inc. Stmt.'!E15/'Inc. Stmt.'!E5)*100</f>
        <v>18.318511400865081</v>
      </c>
      <c r="G4" s="449">
        <f>('Inc. Stmt.'!F15/'Inc. Stmt.'!F5)*100</f>
        <v>22.55470354017794</v>
      </c>
      <c r="H4" s="449">
        <f>('Inc. Stmt.'!G15/'Inc. Stmt.'!G5)*100</f>
        <v>22.0121954649521</v>
      </c>
      <c r="I4" s="449">
        <f>('Inc. Stmt.'!H15/'Inc. Stmt.'!H5)*100</f>
        <v>24.387513143520334</v>
      </c>
      <c r="J4" s="450">
        <f>('Inc. Stmt.'!I15/'Inc. Stmt.'!I5)*100</f>
        <v>20.79</v>
      </c>
      <c r="K4" s="451">
        <f>('Inc. Stmt.'!J15/'Inc. Stmt.'!J5)*100</f>
        <v>20.338625286238802</v>
      </c>
      <c r="L4" s="451">
        <f>('Inc. Stmt.'!K15/'Inc. Stmt.'!K5)*100</f>
        <v>19.660671110030801</v>
      </c>
      <c r="M4" s="451">
        <f>('Inc. Stmt.'!L15/'Inc. Stmt.'!L5)*100</f>
        <v>18.9827169338229</v>
      </c>
      <c r="N4" s="451">
        <f>('Inc. Stmt.'!M15/'Inc. Stmt.'!M5)*100</f>
        <v>18.475608031017902</v>
      </c>
      <c r="O4" s="451">
        <f>('Inc. Stmt.'!N15/'Inc. Stmt.'!N5)*100</f>
        <v>18.475608031017902</v>
      </c>
      <c r="P4" s="451">
        <f>('Inc. Stmt.'!O15/'Inc. Stmt.'!O5)*100</f>
        <v>18.475608031017902</v>
      </c>
    </row>
    <row r="5" spans="1:16" ht="16.05" customHeight="1">
      <c r="A5" s="435" t="s">
        <v>147</v>
      </c>
      <c r="B5" s="436" t="s">
        <v>148</v>
      </c>
      <c r="C5" s="449">
        <f>('Inc. Stmt.'!B17/'Inc. Stmt.'!B5)*100</f>
        <v>10.348001353329687</v>
      </c>
      <c r="D5" s="449">
        <f>('Inc. Stmt.'!C17/'Inc. Stmt.'!C5)*100</f>
        <v>8.1224262941161616</v>
      </c>
      <c r="E5" s="449">
        <f>('Inc. Stmt.'!D17/'Inc. Stmt.'!D5)*100</f>
        <v>12.069105070485165</v>
      </c>
      <c r="F5" s="449">
        <f>('Inc. Stmt.'!E17/'Inc. Stmt.'!E5)*100</f>
        <v>14.568714554957102</v>
      </c>
      <c r="G5" s="449">
        <f>('Inc. Stmt.'!F17/'Inc. Stmt.'!F5)*100</f>
        <v>17.863138606195385</v>
      </c>
      <c r="H5" s="449">
        <f>('Inc. Stmt.'!G17/'Inc. Stmt.'!G5)*100</f>
        <v>17.251126449195876</v>
      </c>
      <c r="I5" s="449">
        <f>('Inc. Stmt.'!H17/'Inc. Stmt.'!H5)*100</f>
        <v>19.874527321609019</v>
      </c>
      <c r="J5" s="450">
        <f>('Inc. Stmt.'!I17/'Inc. Stmt.'!I5)*100</f>
        <v>16.000231668853846</v>
      </c>
      <c r="K5" s="451">
        <f>('Inc. Stmt.'!J17/'Inc. Stmt.'!J5)*100</f>
        <v>15.65284831196872</v>
      </c>
      <c r="L5" s="451">
        <f>('Inc. Stmt.'!K17/'Inc. Stmt.'!K5)*100</f>
        <v>15.131086701569732</v>
      </c>
      <c r="M5" s="451">
        <f>('Inc. Stmt.'!L17/'Inc. Stmt.'!L5)*100</f>
        <v>14.609325091170822</v>
      </c>
      <c r="N5" s="451">
        <f>('Inc. Stmt.'!M17/'Inc. Stmt.'!M5)*100</f>
        <v>14.219048038442669</v>
      </c>
      <c r="O5" s="451">
        <f>('Inc. Stmt.'!N17/'Inc. Stmt.'!N5)*100</f>
        <v>14.219048038442669</v>
      </c>
      <c r="P5" s="451">
        <f>('Inc. Stmt.'!O17/'Inc. Stmt.'!O5)*100</f>
        <v>14.219048038442669</v>
      </c>
    </row>
    <row r="6" spans="1:16" ht="16.05" customHeight="1">
      <c r="A6" s="435" t="s">
        <v>149</v>
      </c>
      <c r="B6" s="436" t="s">
        <v>150</v>
      </c>
      <c r="C6" s="449">
        <f>'Inc. Stmt.'!B43*100</f>
        <v>13.567611164649232</v>
      </c>
      <c r="D6" s="449">
        <f>'Inc. Stmt.'!C43*100</f>
        <v>11.041103504029508</v>
      </c>
      <c r="E6" s="449">
        <f>'Inc. Stmt.'!D43*100</f>
        <v>15.007771349182036</v>
      </c>
      <c r="F6" s="449">
        <f>'Inc. Stmt.'!E43*100</f>
        <v>18.514109586306986</v>
      </c>
      <c r="G6" s="449">
        <f>'Inc. Stmt.'!F43*100</f>
        <v>22.689361033978404</v>
      </c>
      <c r="H6" s="449">
        <f>'Inc. Stmt.'!G43*100</f>
        <v>22.211609317605234</v>
      </c>
      <c r="I6" s="449">
        <f>'Inc. Stmt.'!H43*100</f>
        <v>24.619963476854778</v>
      </c>
      <c r="J6" s="451">
        <f>'Inc. Stmt.'!I43*100</f>
        <v>20.978840559929349</v>
      </c>
      <c r="K6" s="451">
        <f>'Inc. Stmt.'!J43*100</f>
        <v>20.527465846168148</v>
      </c>
      <c r="L6" s="451">
        <f>'Inc. Stmt.'!K43*100</f>
        <v>19.849511669960147</v>
      </c>
      <c r="M6" s="451">
        <f>'Inc. Stmt.'!L43*100</f>
        <v>19.171557493752246</v>
      </c>
      <c r="N6" s="451">
        <f>'Inc. Stmt.'!M43*100</f>
        <v>18.664448590947249</v>
      </c>
      <c r="O6" s="451">
        <f>'Inc. Stmt.'!N43*100</f>
        <v>18.664448590947245</v>
      </c>
      <c r="P6" s="451">
        <f>'Inc. Stmt.'!O43*100</f>
        <v>18.664448590947245</v>
      </c>
    </row>
    <row r="7" spans="1:16" ht="16.05" customHeight="1">
      <c r="A7" s="435" t="s">
        <v>151</v>
      </c>
      <c r="B7" s="436" t="s">
        <v>446</v>
      </c>
      <c r="C7" s="449">
        <f>(('Inc. Stmt.'!B15+'Cash Flow Stmt.'!B5)+'Cash Flow Stmt.'!B27)/'Inc. Stmt.'!B5*100</f>
        <v>13.052736564113996</v>
      </c>
      <c r="D7" s="449">
        <f>(('Inc. Stmt.'!C15+'Cash Flow Stmt.'!C5)+'Cash Flow Stmt.'!C27)/'Inc. Stmt.'!C5*100</f>
        <v>10.7165955081727</v>
      </c>
      <c r="E7" s="449">
        <f>(('Inc. Stmt.'!D15+'Cash Flow Stmt.'!D5)+'Cash Flow Stmt.'!D27)/'Inc. Stmt.'!D5*100</f>
        <v>14.710339224258496</v>
      </c>
      <c r="F7" s="449">
        <f>(('Inc. Stmt.'!E15+'Cash Flow Stmt.'!E5)+'Cash Flow Stmt.'!E27)/'Inc. Stmt.'!E5*100</f>
        <v>18.369763257764763</v>
      </c>
      <c r="G7" s="449">
        <f>(('Inc. Stmt.'!F15+'Cash Flow Stmt.'!F5)+'Cash Flow Stmt.'!F27)/'Inc. Stmt.'!F5*100</f>
        <v>22.574899319772008</v>
      </c>
      <c r="H7" s="449">
        <f>(('Inc. Stmt.'!G15+'Cash Flow Stmt.'!G5)+'Cash Flow Stmt.'!G27)/'Inc. Stmt.'!G5*100</f>
        <v>21.772730085334505</v>
      </c>
      <c r="I7" s="449">
        <f>(('Inc. Stmt.'!H15+'Cash Flow Stmt.'!H5)+'Cash Flow Stmt.'!H27)/'Inc. Stmt.'!H5*100</f>
        <v>24.412001659883092</v>
      </c>
      <c r="J7" s="450">
        <f>(('Inc. Stmt.'!I15+'Cash Flow Stmt.'!I5)+'Cash Flow Stmt.'!I27)/'Inc. Stmt.'!I5*100</f>
        <v>20.725072972113079</v>
      </c>
      <c r="K7" s="451">
        <f>(('Inc. Stmt.'!J15+'Cash Flow Stmt.'!J5)+'Cash Flow Stmt.'!J27)/'Inc. Stmt.'!J5*100</f>
        <v>20.273698258351878</v>
      </c>
      <c r="L7" s="451">
        <f>(('Inc. Stmt.'!K15+'Cash Flow Stmt.'!K5)+'Cash Flow Stmt.'!K27)/'Inc. Stmt.'!K5*100</f>
        <v>19.595744082143877</v>
      </c>
      <c r="M7" s="451">
        <f>(('Inc. Stmt.'!L15+'Cash Flow Stmt.'!L5)+'Cash Flow Stmt.'!L27)/'Inc. Stmt.'!L5*100</f>
        <v>18.917789905935976</v>
      </c>
      <c r="N7" s="451">
        <f>(('Inc. Stmt.'!M15+'Cash Flow Stmt.'!M5)+'Cash Flow Stmt.'!M27)/'Inc. Stmt.'!M5*100</f>
        <v>18.410681003130978</v>
      </c>
      <c r="O7" s="451">
        <f>(('Inc. Stmt.'!N15+'Cash Flow Stmt.'!N5)+'Cash Flow Stmt.'!N27)/'Inc. Stmt.'!N5*100</f>
        <v>18.410681003130978</v>
      </c>
      <c r="P7" s="451">
        <f>(('Inc. Stmt.'!O15+'Cash Flow Stmt.'!O5)+'Cash Flow Stmt.'!O27)/'Inc. Stmt.'!O5*100</f>
        <v>18.410681003130978</v>
      </c>
    </row>
    <row r="8" spans="1:16" ht="16.05" customHeight="1">
      <c r="A8" s="435" t="s">
        <v>152</v>
      </c>
      <c r="B8" s="436" t="s">
        <v>447</v>
      </c>
      <c r="C8" s="449">
        <f>('Inc. Stmt.'!B15+('Bal. Sheet'!B22+'Bal. Sheet'!B23+'Bal. Sheet'!B25)*'Cost of Debt Calc.'!$C$30+'Cash Flow Stmt.'!B5)/'Inc. Stmt.'!B5*100</f>
        <v>15.072790731334756</v>
      </c>
      <c r="D8" s="449">
        <f>('Inc. Stmt.'!C15+((('Bal. Sheet'!B22+'Bal. Sheet'!B23+'Bal. Sheet'!B25)+('Bal. Sheet'!C22+'Bal. Sheet'!C23+'Bal. Sheet'!C25))/2)*'Cost of Debt Calc.'!$C$30+'Cash Flow Stmt.'!C5)/'Inc. Stmt.'!C5*100</f>
        <v>12.338268747087776</v>
      </c>
      <c r="E8" s="449">
        <f>('Inc. Stmt.'!D15+((('Bal. Sheet'!C22+'Bal. Sheet'!C23+'Bal. Sheet'!C25)+('Bal. Sheet'!D22+'Bal. Sheet'!D23+'Bal. Sheet'!D25))/2)*'Cost of Debt Calc.'!$C$30+'Cash Flow Stmt.'!D5)/'Inc. Stmt.'!D5*100</f>
        <v>16.106666953314555</v>
      </c>
      <c r="F8" s="449">
        <f>('Inc. Stmt.'!E15+((('Bal. Sheet'!D22+'Bal. Sheet'!D23+'Bal. Sheet'!D25)+('Bal. Sheet'!E22+'Bal. Sheet'!E23+'Bal. Sheet'!E25))/2)*'Cost of Debt Calc.'!$C$30+'Cash Flow Stmt.'!E5)/'Inc. Stmt.'!E5*100</f>
        <v>19.442840468824244</v>
      </c>
      <c r="G8" s="449">
        <f>('Inc. Stmt.'!F15+((('Bal. Sheet'!E22+'Bal. Sheet'!E23+'Bal. Sheet'!E25)+('Bal. Sheet'!F22+'Bal. Sheet'!F23+'Bal. Sheet'!F25))/2)*'Cost of Debt Calc.'!$C$30+'Cash Flow Stmt.'!F5)/'Inc. Stmt.'!F5*100</f>
        <v>23.627744335899699</v>
      </c>
      <c r="H8" s="449">
        <f>('Inc. Stmt.'!G15+((('Bal. Sheet'!F22+'Bal. Sheet'!F23+'Bal. Sheet'!F25)+('Bal. Sheet'!G22+'Bal. Sheet'!G23+'Bal. Sheet'!G25))/2)*'Cost of Debt Calc.'!$C$30+'Cash Flow Stmt.'!G5)/'Inc. Stmt.'!G5*100</f>
        <v>23.153268751475196</v>
      </c>
      <c r="I8" s="449">
        <f>('Inc. Stmt.'!H15+((('Bal. Sheet'!G22+'Bal. Sheet'!G23+'Bal. Sheet'!G25)+('Bal. Sheet'!H22+'Bal. Sheet'!H23+'Bal. Sheet'!H25))/2)*'Cost of Debt Calc.'!$C$30+'Cash Flow Stmt.'!H5)/'Inc. Stmt.'!H5*100</f>
        <v>25.382649960195451</v>
      </c>
      <c r="J8" s="450">
        <f>('Inc. Stmt.'!I15+((('Bal. Sheet'!H22+'Bal. Sheet'!H23+'Bal. Sheet'!H25)+('Bal. Sheet'!I22+'Bal. Sheet'!I23+'Bal. Sheet'!I25))/2)*'Cost of Debt Calc.'!$C$30+'Cash Flow Stmt.'!I5)/'Inc. Stmt.'!I5*100</f>
        <v>21.775215897665262</v>
      </c>
      <c r="K8" s="451">
        <f>('Inc. Stmt.'!J15+((('Bal. Sheet'!I22+'Bal. Sheet'!I23+'Bal. Sheet'!I25)+('Bal. Sheet'!J22+'Bal. Sheet'!J23+'Bal. Sheet'!J25))/2)*'Cost of Debt Calc.'!$C$30+'Cash Flow Stmt.'!J5)/'Inc. Stmt.'!J5*100</f>
        <v>21.268876900489218</v>
      </c>
      <c r="L8" s="451">
        <f>('Inc. Stmt.'!K15+((('Bal. Sheet'!J22+'Bal. Sheet'!J23+'Bal. Sheet'!J25)+('Bal. Sheet'!K22+'Bal. Sheet'!K23+'Bal. Sheet'!K25))/2)*'Cost of Debt Calc.'!$C$30+'Cash Flow Stmt.'!K5)/'Inc. Stmt.'!K5*100</f>
        <v>20.430056366307848</v>
      </c>
      <c r="M8" s="451">
        <f>('Inc. Stmt.'!L15+((('Bal. Sheet'!K22+'Bal. Sheet'!K23+'Bal. Sheet'!K25)+('Bal. Sheet'!L22+'Bal. Sheet'!L23+'Bal. Sheet'!L25))/2)*'Cost of Debt Calc.'!$C$30+'Cash Flow Stmt.'!L5)/'Inc. Stmt.'!L5*100</f>
        <v>19.573707309260513</v>
      </c>
      <c r="N8" s="451">
        <f>('Inc. Stmt.'!M15+((('Bal. Sheet'!L22+'Bal. Sheet'!L23+'Bal. Sheet'!L25)+('Bal. Sheet'!M22+'Bal. Sheet'!M23+'Bal. Sheet'!M25))/2)*'Cost of Debt Calc.'!$C$30+'Cash Flow Stmt.'!M5)/'Inc. Stmt.'!M5*100</f>
        <v>18.870797964774521</v>
      </c>
      <c r="O8" s="451">
        <f>('Inc. Stmt.'!N15+((('Bal. Sheet'!M22+'Bal. Sheet'!M23+'Bal. Sheet'!M25)+('Bal. Sheet'!N22+'Bal. Sheet'!N23+'Bal. Sheet'!N25))/2)*'Cost of Debt Calc.'!$C$30+'Cash Flow Stmt.'!N5)/'Inc. Stmt.'!N5*100</f>
        <v>18.776189801186021</v>
      </c>
      <c r="P8" s="451">
        <f>('Inc. Stmt.'!O15+((('Bal. Sheet'!N22+'Bal. Sheet'!N23+'Bal. Sheet'!N25)+('Bal. Sheet'!O22+'Bal. Sheet'!O23+'Bal. Sheet'!O25))/2)*'Cost of Debt Calc.'!$C$30+'Cash Flow Stmt.'!O5)/'Inc. Stmt.'!O5*100</f>
        <v>18.774738037627426</v>
      </c>
    </row>
    <row r="9" spans="1:16" ht="16.05" customHeight="1">
      <c r="A9" s="435" t="s">
        <v>153</v>
      </c>
      <c r="B9" s="436" t="s">
        <v>448</v>
      </c>
      <c r="C9" s="449">
        <f>('Inc. Stmt.'!B15+('Bal. Sheet'!B22+'Bal. Sheet'!B23+'Bal. Sheet'!B25)*'Cost of Debt Calc.'!$C$30+'Cash Flow Stmt.'!B5+'Cash Flow Stmt.'!B27)/'Inc. Stmt.'!B5*100</f>
        <v>14.557916130799518</v>
      </c>
      <c r="D9" s="449">
        <f>('Inc. Stmt.'!C15+((('Bal. Sheet'!B22+'Bal. Sheet'!B23+'Bal. Sheet'!B25)+('Bal. Sheet'!C22+'Bal. Sheet'!C23+'Bal. Sheet'!C25))/2)*'Cost of Debt Calc.'!$C$30+'Cash Flow Stmt.'!C5+'Cash Flow Stmt.'!C27)/'Inc. Stmt.'!C5*100</f>
        <v>12.013760751230969</v>
      </c>
      <c r="E9" s="449">
        <f>('Inc. Stmt.'!D15+((('Bal. Sheet'!C22+'Bal. Sheet'!C23+'Bal. Sheet'!C25)+('Bal. Sheet'!D22+'Bal. Sheet'!D23+'Bal. Sheet'!D25))/2)*'Cost of Debt Calc.'!$C$30+'Cash Flow Stmt.'!D5+'Cash Flow Stmt.'!D27)/'Inc. Stmt.'!D5*100</f>
        <v>15.809234828391014</v>
      </c>
      <c r="F9" s="449">
        <f>('Inc. Stmt.'!E15+((('Bal. Sheet'!D22+'Bal. Sheet'!D23+'Bal. Sheet'!D25)+('Bal. Sheet'!E22+'Bal. Sheet'!E23+'Bal. Sheet'!E25))/2)*'Cost of Debt Calc.'!$C$30+'Cash Flow Stmt.'!E5+'Cash Flow Stmt.'!E27)/'Inc. Stmt.'!E5*100</f>
        <v>19.298494140282017</v>
      </c>
      <c r="G9" s="449">
        <f>('Inc. Stmt.'!F15+((('Bal. Sheet'!E22+'Bal. Sheet'!E23+'Bal. Sheet'!E25)+('Bal. Sheet'!F22+'Bal. Sheet'!F23+'Bal. Sheet'!F25))/2)*'Cost of Debt Calc.'!$C$30+'Cash Flow Stmt.'!F5+'Cash Flow Stmt.'!F27)/'Inc. Stmt.'!F5*100</f>
        <v>23.513282621693303</v>
      </c>
      <c r="H9" s="449">
        <f>('Inc. Stmt.'!G15+((('Bal. Sheet'!F22+'Bal. Sheet'!F23+'Bal. Sheet'!F25)+('Bal. Sheet'!G22+'Bal. Sheet'!G23+'Bal. Sheet'!G25))/2)*'Cost of Debt Calc.'!$C$30+'Cash Flow Stmt.'!G5+'Cash Flow Stmt.'!G27)/'Inc. Stmt.'!G5*100</f>
        <v>22.714389519204463</v>
      </c>
      <c r="I9" s="449">
        <f>('Inc. Stmt.'!H15+((('Bal. Sheet'!G22+'Bal. Sheet'!G23+'Bal. Sheet'!G25)+('Bal. Sheet'!H22+'Bal. Sheet'!H23+'Bal. Sheet'!H25))/2)*'Cost of Debt Calc.'!$C$30+'Cash Flow Stmt.'!H5+'Cash Flow Stmt.'!H27)/'Inc. Stmt.'!H5*100</f>
        <v>25.174688143223769</v>
      </c>
      <c r="J9" s="450">
        <f>('Inc. Stmt.'!I15+((('Bal. Sheet'!H22+'Bal. Sheet'!H23+'Bal. Sheet'!H25)+('Bal. Sheet'!I22+'Bal. Sheet'!I23+'Bal. Sheet'!I25))/2)*'Cost of Debt Calc.'!$C$30+'Cash Flow Stmt.'!I5+'Cash Flow Stmt.'!I27)/'Inc. Stmt.'!I5*100</f>
        <v>21.521448309848992</v>
      </c>
      <c r="K9" s="451">
        <f>('Inc. Stmt.'!J15+((('Bal. Sheet'!I22+'Bal. Sheet'!I23+'Bal. Sheet'!I25)+('Bal. Sheet'!J22+'Bal. Sheet'!J23+'Bal. Sheet'!J25))/2)*'Cost of Debt Calc.'!$C$30+'Cash Flow Stmt.'!J5+'Cash Flow Stmt.'!J27)/'Inc. Stmt.'!J5*100</f>
        <v>21.015109312672951</v>
      </c>
      <c r="L9" s="451">
        <f>('Inc. Stmt.'!K15+((('Bal. Sheet'!J22+'Bal. Sheet'!J23+'Bal. Sheet'!J25)+('Bal. Sheet'!K22+'Bal. Sheet'!K23+'Bal. Sheet'!K25))/2)*'Cost of Debt Calc.'!$C$30+'Cash Flow Stmt.'!K5+'Cash Flow Stmt.'!K27)/'Inc. Stmt.'!K5*100</f>
        <v>20.176288778491578</v>
      </c>
      <c r="M9" s="451">
        <f>('Inc. Stmt.'!L15+((('Bal. Sheet'!K22+'Bal. Sheet'!K23+'Bal. Sheet'!K25)+('Bal. Sheet'!L22+'Bal. Sheet'!L23+'Bal. Sheet'!L25))/2)*'Cost of Debt Calc.'!$C$30+'Cash Flow Stmt.'!L5+'Cash Flow Stmt.'!L27)/'Inc. Stmt.'!L5*100</f>
        <v>19.319939721444243</v>
      </c>
      <c r="N9" s="451">
        <f>('Inc. Stmt.'!M15+((('Bal. Sheet'!L22+'Bal. Sheet'!L23+'Bal. Sheet'!L25)+('Bal. Sheet'!M22+'Bal. Sheet'!M23+'Bal. Sheet'!M25))/2)*'Cost of Debt Calc.'!$C$30+'Cash Flow Stmt.'!M5+'Cash Flow Stmt.'!M27)/'Inc. Stmt.'!M5*100</f>
        <v>18.617030376958251</v>
      </c>
      <c r="O9" s="451">
        <f>('Inc. Stmt.'!N15+((('Bal. Sheet'!M22+'Bal. Sheet'!M23+'Bal. Sheet'!M25)+('Bal. Sheet'!N22+'Bal. Sheet'!N23+'Bal. Sheet'!N25))/2)*'Cost of Debt Calc.'!$C$30+'Cash Flow Stmt.'!N5+'Cash Flow Stmt.'!N27)/'Inc. Stmt.'!N5*100</f>
        <v>18.522422213369751</v>
      </c>
      <c r="P9" s="451">
        <f>('Inc. Stmt.'!O15+((('Bal. Sheet'!N22+'Bal. Sheet'!N23+'Bal. Sheet'!N25)+('Bal. Sheet'!O22+'Bal. Sheet'!O23+'Bal. Sheet'!O25))/2)*'Cost of Debt Calc.'!$C$30+'Cash Flow Stmt.'!O5+'Cash Flow Stmt.'!O27)/'Inc. Stmt.'!O5*100</f>
        <v>18.520970449811156</v>
      </c>
    </row>
    <row r="10" spans="1:16" ht="16.05" customHeight="1">
      <c r="A10" s="435" t="s">
        <v>154</v>
      </c>
      <c r="B10" s="436" t="s">
        <v>155</v>
      </c>
      <c r="C10" s="449">
        <f>('Inc. Stmt.'!B17/'Bal. Sheet'!B16)*100</f>
        <v>8.2312321275059759</v>
      </c>
      <c r="D10" s="449">
        <f>('Inc. Stmt.'!C17/'Bal. Sheet'!C16)*100</f>
        <v>7.3442759260295656</v>
      </c>
      <c r="E10" s="449">
        <f>('Inc. Stmt.'!D17/'Bal. Sheet'!D16)*100</f>
        <v>11.912560790496407</v>
      </c>
      <c r="F10" s="449">
        <f>('Inc. Stmt.'!E17/'Bal. Sheet'!E16)*100</f>
        <v>14.374129225869931</v>
      </c>
      <c r="G10" s="449">
        <f>('Inc. Stmt.'!F17/'Bal. Sheet'!F16)*100</f>
        <v>18.964893472450814</v>
      </c>
      <c r="H10" s="449">
        <f>('Inc. Stmt.'!G17/'Bal. Sheet'!G16)*100</f>
        <v>16.116767008332843</v>
      </c>
      <c r="I10" s="449">
        <f>('Inc. Stmt.'!H17/'Bal. Sheet'!H16)*100</f>
        <v>18.540271662946655</v>
      </c>
      <c r="J10" s="450">
        <f>('Inc. Stmt.'!I17/'Bal. Sheet'!I16)*100</f>
        <v>13.344561193409534</v>
      </c>
      <c r="K10" s="451">
        <f>('Inc. Stmt.'!J17/'Bal. Sheet'!J16)*100</f>
        <v>12.810726240876095</v>
      </c>
      <c r="L10" s="451">
        <f>('Inc. Stmt.'!K17/'Bal. Sheet'!K16)*100</f>
        <v>12.180469242270981</v>
      </c>
      <c r="M10" s="451">
        <f>('Inc. Stmt.'!L17/'Bal. Sheet'!L16)*100</f>
        <v>11.938355253488609</v>
      </c>
      <c r="N10" s="451">
        <f>('Inc. Stmt.'!M17/'Bal. Sheet'!M16)*100</f>
        <v>12.04265028756434</v>
      </c>
      <c r="O10" s="451">
        <f>('Inc. Stmt.'!N17/'Bal. Sheet'!N16)*100</f>
        <v>12.313447527003358</v>
      </c>
      <c r="P10" s="451">
        <f>('Inc. Stmt.'!O17/'Bal. Sheet'!O16)*100</f>
        <v>12.209295872044272</v>
      </c>
    </row>
    <row r="11" spans="1:16" ht="16.05" customHeight="1">
      <c r="A11" s="435" t="s">
        <v>156</v>
      </c>
      <c r="B11" s="436" t="s">
        <v>449</v>
      </c>
      <c r="C11" s="449">
        <f>('Inc. Stmt.'!B15+'Cash Flow Stmt.'!B5)/'Bal. Sheet'!B16*100</f>
        <v>10.792244134760837</v>
      </c>
      <c r="D11" s="449">
        <f>('Inc. Stmt.'!C15+'Cash Flow Stmt.'!C5)/'Bal. Sheet'!C16*100</f>
        <v>9.983335979322451</v>
      </c>
      <c r="E11" s="449">
        <f>('Inc. Stmt.'!D15+'Cash Flow Stmt.'!D5)/'Bal. Sheet'!D16*100</f>
        <v>14.813110622775818</v>
      </c>
      <c r="F11" s="449">
        <f>('Inc. Stmt.'!E15+'Cash Flow Stmt.'!E5)/'Bal. Sheet'!E16*100</f>
        <v>18.266828050724857</v>
      </c>
      <c r="G11" s="449">
        <f>('Inc. Stmt.'!F15+'Cash Flow Stmt.'!F5)/'Bal. Sheet'!F16*100</f>
        <v>24.088785540640526</v>
      </c>
      <c r="H11" s="449">
        <f>('Inc. Stmt.'!G15+'Cash Flow Stmt.'!G5)/'Bal. Sheet'!G16*100</f>
        <v>20.751069984107897</v>
      </c>
      <c r="I11" s="449">
        <f>('Inc. Stmt.'!H15+'Cash Flow Stmt.'!H5)/'Bal. Sheet'!H16*100</f>
        <v>22.967127912341102</v>
      </c>
      <c r="J11" s="450">
        <f>('Inc. Stmt.'!I15+'Cash Flow Stmt.'!I5)/'Bal. Sheet'!I16*100</f>
        <v>17.496835509183171</v>
      </c>
      <c r="K11" s="451">
        <f>('Inc. Stmt.'!J15+'Cash Flow Stmt.'!J5)/'Bal. Sheet'!J16*100</f>
        <v>16.800248755564613</v>
      </c>
      <c r="L11" s="451">
        <f>('Inc. Stmt.'!K15+'Cash Flow Stmt.'!K5)/'Bal. Sheet'!K16*100</f>
        <v>15.97878401853094</v>
      </c>
      <c r="M11" s="451">
        <f>('Inc. Stmt.'!L15+'Cash Flow Stmt.'!L5)/'Bal. Sheet'!L16*100</f>
        <v>15.666491278328682</v>
      </c>
      <c r="N11" s="451">
        <f>('Inc. Stmt.'!M15+'Cash Flow Stmt.'!M5)/'Bal. Sheet'!M16*100</f>
        <v>15.807628371696428</v>
      </c>
      <c r="O11" s="451">
        <f>('Inc. Stmt.'!N15+'Cash Flow Stmt.'!N5)/'Bal. Sheet'!N16*100</f>
        <v>16.163086848270609</v>
      </c>
      <c r="P11" s="451">
        <f>('Inc. Stmt.'!O15+'Cash Flow Stmt.'!O5)/'Bal. Sheet'!O16*100</f>
        <v>16.026373532133668</v>
      </c>
    </row>
    <row r="12" spans="1:16" ht="16.05" customHeight="1">
      <c r="A12" s="435" t="s">
        <v>157</v>
      </c>
      <c r="B12" s="436" t="s">
        <v>158</v>
      </c>
      <c r="C12" s="449">
        <f>('Inc. Stmt.'!B17/'Bal. Sheet'!B37)*100</f>
        <v>13.288868937796522</v>
      </c>
      <c r="D12" s="449">
        <f>('Inc. Stmt.'!C17/'Bal. Sheet'!C37)*100</f>
        <v>11.98780749261272</v>
      </c>
      <c r="E12" s="449">
        <f>('Inc. Stmt.'!D17/'Bal. Sheet'!D37)*100</f>
        <v>18.139108019753344</v>
      </c>
      <c r="F12" s="449">
        <f>('Inc. Stmt.'!E17/'Bal. Sheet'!E37)*100</f>
        <v>22.997904790625345</v>
      </c>
      <c r="G12" s="449">
        <f>('Inc. Stmt.'!F17/'Bal. Sheet'!F37)*100</f>
        <v>28.998212991138839</v>
      </c>
      <c r="H12" s="449">
        <f>('Inc. Stmt.'!G17/'Bal. Sheet'!G37)*100</f>
        <v>23.267979906116253</v>
      </c>
      <c r="I12" s="449">
        <f>('Inc. Stmt.'!H17/'Bal. Sheet'!H37)*100</f>
        <v>25.229307860998855</v>
      </c>
      <c r="J12" s="450">
        <f>('Inc. Stmt.'!I17/'Bal. Sheet'!I37)*100</f>
        <v>18.078314725939954</v>
      </c>
      <c r="K12" s="451">
        <f>('Inc. Stmt.'!J17/'Bal. Sheet'!J37)*100</f>
        <v>16.647266543697306</v>
      </c>
      <c r="L12" s="451">
        <f>('Inc. Stmt.'!K17/'Bal. Sheet'!K37)*100</f>
        <v>15.126340108523681</v>
      </c>
      <c r="M12" s="451">
        <f>('Inc. Stmt.'!L17/'Bal. Sheet'!L37)*100</f>
        <v>14.590832098397922</v>
      </c>
      <c r="N12" s="451">
        <f>('Inc. Stmt.'!M17/'Bal. Sheet'!M37)*100</f>
        <v>14.137989537174169</v>
      </c>
      <c r="O12" s="451">
        <f>('Inc. Stmt.'!N17/'Bal. Sheet'!N37)*100</f>
        <v>13.938459772449241</v>
      </c>
      <c r="P12" s="451">
        <f>('Inc. Stmt.'!O17/'Bal. Sheet'!O37)*100</f>
        <v>13.800593648266792</v>
      </c>
    </row>
    <row r="13" spans="1:16" ht="16.05" customHeight="1">
      <c r="A13" s="435" t="s">
        <v>159</v>
      </c>
      <c r="B13" s="436" t="s">
        <v>160</v>
      </c>
      <c r="C13" s="449">
        <f>(('Inc. Stmt.'!B15+'Cash Flow Stmt.'!B5)/'Bal. Sheet'!B37)*100</f>
        <v>17.4234811544544</v>
      </c>
      <c r="D13" s="449">
        <f>(('Inc. Stmt.'!C15+'Cash Flow Stmt.'!C5)/'Bal. Sheet'!C37)*100</f>
        <v>16.295453909898487</v>
      </c>
      <c r="E13" s="449">
        <f>(('Inc. Stmt.'!D15+'Cash Flow Stmt.'!D5)/'Bal. Sheet'!D37)*100</f>
        <v>22.555739141280764</v>
      </c>
      <c r="F13" s="449">
        <f>(('Inc. Stmt.'!E15+'Cash Flow Stmt.'!E5)/'Bal. Sheet'!E37)*100</f>
        <v>29.226032807693088</v>
      </c>
      <c r="G13" s="449">
        <f>(('Inc. Stmt.'!F15+'Cash Flow Stmt.'!F5)/'Bal. Sheet'!F37)*100</f>
        <v>36.832884657120566</v>
      </c>
      <c r="H13" s="449">
        <f>(('Inc. Stmt.'!G15+'Cash Flow Stmt.'!G5)/'Bal. Sheet'!G37)*100</f>
        <v>29.958581592139076</v>
      </c>
      <c r="I13" s="449">
        <f>(('Inc. Stmt.'!H15+'Cash Flow Stmt.'!H5)/'Bal. Sheet'!H37)*100</f>
        <v>31.253303690335503</v>
      </c>
      <c r="J13" s="451">
        <f>(('Inc. Stmt.'!I15+'Cash Flow Stmt.'!I5)/'Bal. Sheet'!I37)*100</f>
        <v>23.703536928530301</v>
      </c>
      <c r="K13" s="451">
        <f>(('Inc. Stmt.'!J15+'Cash Flow Stmt.'!J5)/'Bal. Sheet'!J37)*100</f>
        <v>21.83156628091184</v>
      </c>
      <c r="L13" s="451">
        <f>(('Inc. Stmt.'!K15+'Cash Flow Stmt.'!K5)/'Bal. Sheet'!K37)*100</f>
        <v>19.843284915998691</v>
      </c>
      <c r="M13" s="451">
        <f>(('Inc. Stmt.'!L15+'Cash Flow Stmt.'!L5)/'Bal. Sheet'!L37)*100</f>
        <v>19.147289468229875</v>
      </c>
      <c r="N13" s="451">
        <f>(('Inc. Stmt.'!M15+'Cash Flow Stmt.'!M5)/'Bal. Sheet'!M37)*100</f>
        <v>18.558048202841462</v>
      </c>
      <c r="O13" s="451">
        <f>(('Inc. Stmt.'!N15+'Cash Flow Stmt.'!N5)/'Bal. Sheet'!N37)*100</f>
        <v>18.296138050628478</v>
      </c>
      <c r="P13" s="451">
        <f>(('Inc. Stmt.'!O15+'Cash Flow Stmt.'!O5)/'Bal. Sheet'!O37)*100</f>
        <v>18.115169874680305</v>
      </c>
    </row>
    <row r="14" spans="1:16" ht="16.05" customHeight="1">
      <c r="A14" s="435" t="s">
        <v>161</v>
      </c>
      <c r="B14" s="436" t="s">
        <v>450</v>
      </c>
      <c r="C14" s="449">
        <f>('Inc. Stmt.'!B15+('Bal. Sheet'!B22+'Bal. Sheet'!B23+'Bal. Sheet'!B25)*'Cost of Debt Calc.'!$C$30)/'Bal. Sheet'!B16*100</f>
        <v>11.614156572900294</v>
      </c>
      <c r="D14" s="449">
        <f>('Inc. Stmt.'!C15+((('Bal. Sheet'!B22+'Bal. Sheet'!B23+'Bal. Sheet'!B25)+('Bal. Sheet'!C22+'Bal. Sheet'!C23+'Bal. Sheet'!C25))/2)*'Cost of Debt Calc.'!$C$30)/'Bal. Sheet'!C16*100</f>
        <v>10.804560203851009</v>
      </c>
      <c r="E14" s="449">
        <f>('Inc. Stmt.'!D15+((('Bal. Sheet'!C22+'Bal. Sheet'!C23+'Bal. Sheet'!C25)+('Bal. Sheet'!D22+'Bal. Sheet'!D23+'Bal. Sheet'!D25))/2)*'Cost of Debt Calc.'!$C$30)/'Bal. Sheet'!D16*100</f>
        <v>15.527018018400243</v>
      </c>
      <c r="F14" s="449">
        <f>('Inc. Stmt.'!E15+((('Bal. Sheet'!D22+'Bal. Sheet'!D23+'Bal. Sheet'!D25)+('Bal. Sheet'!E22+'Bal. Sheet'!E23+'Bal. Sheet'!E25))/2)*'Cost of Debt Calc.'!$C$30)/'Bal. Sheet'!E16*100</f>
        <v>18.990168746825319</v>
      </c>
      <c r="G14" s="449">
        <f>('Inc. Stmt.'!F15+((('Bal. Sheet'!E22+'Bal. Sheet'!E23+'Bal. Sheet'!E25)+('Bal. Sheet'!F22+'Bal. Sheet'!F23+'Bal. Sheet'!F25))/2)*'Cost of Debt Calc.'!$C$30)/'Bal. Sheet'!F16*100</f>
        <v>24.942083198353622</v>
      </c>
      <c r="H14" s="449">
        <f>('Inc. Stmt.'!G15+((('Bal. Sheet'!F22+'Bal. Sheet'!F23+'Bal. Sheet'!F25)+('Bal. Sheet'!G22+'Bal. Sheet'!G23+'Bal. Sheet'!G25))/2)*'Cost of Debt Calc.'!$C$30)/'Bal. Sheet'!G16*100</f>
        <v>21.444508707119162</v>
      </c>
      <c r="I14" s="449">
        <f>('Inc. Stmt.'!H15+((('Bal. Sheet'!G22+'Bal. Sheet'!G23+'Bal. Sheet'!G25)+('Bal. Sheet'!H22+'Bal. Sheet'!H23+'Bal. Sheet'!H25))/2)*'Cost of Debt Calc.'!$C$30)/'Bal. Sheet'!H16*100</f>
        <v>23.461767211558129</v>
      </c>
      <c r="J14" s="450">
        <f>('Inc. Stmt.'!I15+((('Bal. Sheet'!H22+'Bal. Sheet'!H23+'Bal. Sheet'!H25)+('Bal. Sheet'!I22+'Bal. Sheet'!I23+'Bal. Sheet'!I25))/2)*'Cost of Debt Calc.'!$C$30)/'Bal. Sheet'!I16*100</f>
        <v>18.003533486272211</v>
      </c>
      <c r="K14" s="451">
        <f>('Inc. Stmt.'!J15+((('Bal. Sheet'!I22+'Bal. Sheet'!I23+'Bal. Sheet'!I25)+('Bal. Sheet'!J22+'Bal. Sheet'!J23+'Bal. Sheet'!J25))/2)*'Cost of Debt Calc.'!$C$30)/'Bal. Sheet'!J16*100</f>
        <v>17.252487810805771</v>
      </c>
      <c r="L14" s="451">
        <f>('Inc. Stmt.'!K15+((('Bal. Sheet'!J22+'Bal. Sheet'!J23+'Bal. Sheet'!J25)+('Bal. Sheet'!K22+'Bal. Sheet'!K23+'Bal. Sheet'!K25))/2)*'Cost of Debt Calc.'!$C$30)/'Bal. Sheet'!K16*100</f>
        <v>16.294104410239427</v>
      </c>
      <c r="M14" s="451">
        <f>('Inc. Stmt.'!L15+((('Bal. Sheet'!K22+'Bal. Sheet'!K23+'Bal. Sheet'!K25)+('Bal. Sheet'!L22+'Bal. Sheet'!L23+'Bal. Sheet'!L25))/2)*'Cost of Debt Calc.'!$C$30)/'Bal. Sheet'!L16*100</f>
        <v>15.840801977561281</v>
      </c>
      <c r="N14" s="451">
        <f>('Inc. Stmt.'!M15+((('Bal. Sheet'!L22+'Bal. Sheet'!L23+'Bal. Sheet'!L25)+('Bal. Sheet'!M22+'Bal. Sheet'!M23+'Bal. Sheet'!M25))/2)*'Cost of Debt Calc.'!$C$30)/'Bal. Sheet'!M16*100</f>
        <v>15.822457249280403</v>
      </c>
      <c r="O14" s="451">
        <f>('Inc. Stmt.'!N15+((('Bal. Sheet'!M22+'Bal. Sheet'!M23+'Bal. Sheet'!M25)+('Bal. Sheet'!N22+'Bal. Sheet'!N23+'Bal. Sheet'!N25))/2)*'Cost of Debt Calc.'!$C$30)/'Bal. Sheet'!N16*100</f>
        <v>16.096320156561415</v>
      </c>
      <c r="P14" s="451">
        <f>('Inc. Stmt.'!O15+((('Bal. Sheet'!N22+'Bal. Sheet'!N23+'Bal. Sheet'!N25)+('Bal. Sheet'!O22+'Bal. Sheet'!O23+'Bal. Sheet'!O25))/2)*'Cost of Debt Calc.'!$C$30)/'Bal. Sheet'!O16*100</f>
        <v>15.958925009550114</v>
      </c>
    </row>
    <row r="15" spans="1:16" ht="16.05" customHeight="1">
      <c r="A15" s="435" t="s">
        <v>162</v>
      </c>
      <c r="B15" s="436" t="s">
        <v>451</v>
      </c>
      <c r="C15" s="449">
        <f>('Inc. Stmt.'!B15+'Cash Flow Stmt.'!B5)/('Bal. Sheet'!B16-'Bal. Sheet'!B24)*100</f>
        <v>17.046558011161029</v>
      </c>
      <c r="D15" s="449">
        <f>('Inc. Stmt.'!C15+'Cash Flow Stmt.'!C5)/('Bal. Sheet'!C16-'Bal. Sheet'!C24)*100</f>
        <v>13.903438797860277</v>
      </c>
      <c r="E15" s="449">
        <f>('Inc. Stmt.'!D15+'Cash Flow Stmt.'!D5)/('Bal. Sheet'!D16-'Bal. Sheet'!D24)*100</f>
        <v>18.915746355775489</v>
      </c>
      <c r="F15" s="449">
        <f>('Inc. Stmt.'!E15+'Cash Flow Stmt.'!E5)/('Bal. Sheet'!E16-'Bal. Sheet'!E24)*100</f>
        <v>20.869709151479555</v>
      </c>
      <c r="G15" s="449">
        <f>('Inc. Stmt.'!F15+'Cash Flow Stmt.'!F5)/('Bal. Sheet'!F16-'Bal. Sheet'!F24)*100</f>
        <v>27.545948245675227</v>
      </c>
      <c r="H15" s="449">
        <f>('Inc. Stmt.'!G15+'Cash Flow Stmt.'!G5)/('Bal. Sheet'!G16-'Bal. Sheet'!G24)*100</f>
        <v>23.359471826923929</v>
      </c>
      <c r="I15" s="449">
        <f>('Inc. Stmt.'!H15+'Cash Flow Stmt.'!H5)/('Bal. Sheet'!H16-'Bal. Sheet'!H24)*100</f>
        <v>25.873487234716887</v>
      </c>
      <c r="J15" s="450">
        <f>('Inc. Stmt.'!I15+'Cash Flow Stmt.'!I5)/('Bal. Sheet'!I16-'Bal. Sheet'!I24)*100</f>
        <v>20.085330749284378</v>
      </c>
      <c r="K15" s="451">
        <f>('Inc. Stmt.'!J15+'Cash Flow Stmt.'!J5)/('Bal. Sheet'!J16-'Bal. Sheet'!J24)*100</f>
        <v>18.965811219950538</v>
      </c>
      <c r="L15" s="451">
        <f>('Inc. Stmt.'!K15+'Cash Flow Stmt.'!K5)/('Bal. Sheet'!K16-'Bal. Sheet'!K24)*100</f>
        <v>17.870535935526739</v>
      </c>
      <c r="M15" s="451">
        <f>('Inc. Stmt.'!L15+'Cash Flow Stmt.'!L5)/('Bal. Sheet'!L16-'Bal. Sheet'!L24)*100</f>
        <v>17.631150890334066</v>
      </c>
      <c r="N15" s="451">
        <f>('Inc. Stmt.'!M15+'Cash Flow Stmt.'!M5)/('Bal. Sheet'!M16-'Bal. Sheet'!M24)*100</f>
        <v>17.847569356190697</v>
      </c>
      <c r="O15" s="451">
        <f>('Inc. Stmt.'!N15+'Cash Flow Stmt.'!N5)/('Bal. Sheet'!N16-'Bal. Sheet'!N24)*100</f>
        <v>18.29613937671175</v>
      </c>
      <c r="P15" s="451">
        <f>('Inc. Stmt.'!O15+'Cash Flow Stmt.'!O5)/('Bal. Sheet'!O16-'Bal. Sheet'!O24)*100</f>
        <v>18.115168603616013</v>
      </c>
    </row>
    <row r="16" spans="1:16" ht="16.05" customHeight="1">
      <c r="A16" s="435" t="s">
        <v>163</v>
      </c>
      <c r="B16" s="436" t="s">
        <v>452</v>
      </c>
      <c r="C16" s="449"/>
      <c r="D16" s="449">
        <f>('Bal. Sheet'!C37/'Bal. Sheet'!B37-1)*100</f>
        <v>10.452976739588827</v>
      </c>
      <c r="E16" s="449">
        <f>('Bal. Sheet'!D37/'Bal. Sheet'!C37-1)*100</f>
        <v>21.069174768594046</v>
      </c>
      <c r="F16" s="449">
        <f>('Bal. Sheet'!E37/'Bal. Sheet'!D37-1)*100</f>
        <v>36.846578966414079</v>
      </c>
      <c r="G16" s="449">
        <f>('Bal. Sheet'!F37/'Bal. Sheet'!E37-1)*100</f>
        <v>21.843401665815222</v>
      </c>
      <c r="H16" s="449">
        <f>('Bal. Sheet'!G37/'Bal. Sheet'!F37-1)*100</f>
        <v>21.720977267584949</v>
      </c>
      <c r="I16" s="449">
        <f>('Bal. Sheet'!H37/'Bal. Sheet'!G37-1)*100</f>
        <v>25.450507696054594</v>
      </c>
      <c r="J16" s="450">
        <f>('Bal. Sheet'!I37/'Bal. Sheet'!H37-1)*100</f>
        <v>12.050156278916745</v>
      </c>
      <c r="K16" s="451">
        <f>('Bal. Sheet'!J37/'Bal. Sheet'!I37-1)*100</f>
        <v>6.8937165783590659</v>
      </c>
      <c r="L16" s="451">
        <f>('Bal. Sheet'!K37/'Bal. Sheet'!J37-1)*100</f>
        <v>8.3588243314108635</v>
      </c>
      <c r="M16" s="451">
        <f>('Bal. Sheet'!L37/'Bal. Sheet'!K37-1)*100</f>
        <v>8.1177749766624387</v>
      </c>
      <c r="N16" s="451">
        <f>('Bal. Sheet'!M37/'Bal. Sheet'!L37-1)*100</f>
        <v>7.8509279667556831</v>
      </c>
      <c r="O16" s="451">
        <f>('Bal. Sheet'!N37/'Bal. Sheet'!M37-1)*100</f>
        <v>7.7616153076781158</v>
      </c>
      <c r="P16" s="451">
        <f>('Bal. Sheet'!O37/'Bal. Sheet'!N37-1)*100</f>
        <v>7.690617711860348</v>
      </c>
    </row>
    <row r="17" spans="1:16" ht="16.05" customHeight="1">
      <c r="A17" s="435" t="s">
        <v>164</v>
      </c>
      <c r="B17" s="436" t="s">
        <v>453</v>
      </c>
      <c r="C17" s="452">
        <f>(('Inc. Stmt.'!B15+('Bal. Sheet'!B22+'Bal. Sheet'!B23+'Bal. Sheet'!B25)*'Cost of Debt Calc.'!$C$30)*(1-('Inc. Stmt.'!B16/'Inc. Stmt.'!B15)))-(('Bal. Sheet'!B25+'Bal. Sheet'!B37)*'DCF Model'!$D$31)</f>
        <v>7583.4869606551365</v>
      </c>
      <c r="D17" s="492">
        <f>(('Inc. Stmt.'!C15+((('Bal. Sheet'!B22+'Bal. Sheet'!B23+'Bal. Sheet'!B25)+('Bal. Sheet'!C22+'Bal. Sheet'!C23+'Bal. Sheet'!C25))/2)*'Cost of Debt Calc.'!$C$30)*(1-('Inc. Stmt.'!C16/'Inc. Stmt.'!C15)))-(('Bal. Sheet'!C25+'Bal. Sheet'!C37)*'DCF Model'!$D$31)</f>
        <v>-8694.8082217251358</v>
      </c>
      <c r="E17" s="452">
        <f>(('Inc. Stmt.'!D15+((('Bal. Sheet'!C22+'Bal. Sheet'!C23+'Bal. Sheet'!C25)+('Bal. Sheet'!D22+'Bal. Sheet'!D23+'Bal. Sheet'!D25))/2)*'Cost of Debt Calc.'!$C$30)*(1-('Inc. Stmt.'!D16/'Inc. Stmt.'!D15)))-(('Bal. Sheet'!D25+'Bal. Sheet'!D37)*'DCF Model'!$D$31)</f>
        <v>25846.521782799828</v>
      </c>
      <c r="F17" s="452">
        <f>(('Inc. Stmt.'!E15+((('Bal. Sheet'!D22+'Bal. Sheet'!D23+'Bal. Sheet'!D25)+('Bal. Sheet'!E22+'Bal. Sheet'!E23+'Bal. Sheet'!E25))/2)*'Cost of Debt Calc.'!$C$30)*(1-('Inc. Stmt.'!E16/'Inc. Stmt.'!E15)))-(('Bal. Sheet'!E25+'Bal. Sheet'!E37)*'DCF Model'!$D$31)</f>
        <v>52487.093012565892</v>
      </c>
      <c r="G17" s="452">
        <f>(('Inc. Stmt.'!F15+((('Bal. Sheet'!E22+'Bal. Sheet'!E23+'Bal. Sheet'!E25)+('Bal. Sheet'!F22+'Bal. Sheet'!F23+'Bal. Sheet'!F25))/2)*'Cost of Debt Calc.'!$C$30)*(1-('Inc. Stmt.'!F16/'Inc. Stmt.'!F15)))-(('Bal. Sheet'!F25+'Bal. Sheet'!F37)*'DCF Model'!$D$31)</f>
        <v>139024.59628415699</v>
      </c>
      <c r="H17" s="452">
        <f>(('Inc. Stmt.'!G15+((('Bal. Sheet'!F22+'Bal. Sheet'!F23+'Bal. Sheet'!F25)+('Bal. Sheet'!G22+'Bal. Sheet'!G23+'Bal. Sheet'!G25))/2)*'Cost of Debt Calc.'!$C$30)*(1-('Inc. Stmt.'!G16/'Inc. Stmt.'!G15)))-(('Bal. Sheet'!G25+'Bal. Sheet'!G37)*'DCF Model'!$D$31)</f>
        <v>100532.69596671406</v>
      </c>
      <c r="I17" s="452">
        <f>(('Inc. Stmt.'!H15+((('Bal. Sheet'!G22+'Bal. Sheet'!G23+'Bal. Sheet'!G25)+('Bal. Sheet'!H22+'Bal. Sheet'!H23+'Bal. Sheet'!H25))/2)*'Cost of Debt Calc.'!$C$30)*(1-('Inc. Stmt.'!H16/'Inc. Stmt.'!H15)))-(('Bal. Sheet'!H25+'Bal. Sheet'!H37)*'DCF Model'!$D$31)</f>
        <v>171397.51989375326</v>
      </c>
      <c r="J17" s="453">
        <f>(('Inc. Stmt.'!I15+((('Bal. Sheet'!H22+'Bal. Sheet'!H23+'Bal. Sheet'!H25)+('Bal. Sheet'!I22+'Bal. Sheet'!I23+'Bal. Sheet'!I25))/2)*'Cost of Debt Calc.'!$C$30)*(1-('Inc. Stmt.'!I16/'Inc. Stmt.'!I15)))-(('Bal. Sheet'!I25+'Bal. Sheet'!I37)*'DCF Model'!$D$31)</f>
        <v>62533.657293189317</v>
      </c>
      <c r="K17" s="454">
        <f>(('Inc. Stmt.'!J15+((('Bal. Sheet'!I22+'Bal. Sheet'!I23+'Bal. Sheet'!I25)+('Bal. Sheet'!J22+'Bal. Sheet'!J23+'Bal. Sheet'!J25))/2)*'Cost of Debt Calc.'!$C$30)*(1-('Inc. Stmt.'!J16/'Inc. Stmt.'!J15)))-(('Bal. Sheet'!J25+'Bal. Sheet'!J37)*'DCF Model'!$D$31)</f>
        <v>47805.933816836157</v>
      </c>
      <c r="L17" s="454">
        <f>(('Inc. Stmt.'!K15+((('Bal. Sheet'!J22+'Bal. Sheet'!J23+'Bal. Sheet'!J25)+('Bal. Sheet'!K22+'Bal. Sheet'!K23+'Bal. Sheet'!K25))/2)*'Cost of Debt Calc.'!$C$30)*(1-('Inc. Stmt.'!K16/'Inc. Stmt.'!K15)))-(('Bal. Sheet'!K25+'Bal. Sheet'!K37)*'DCF Model'!$D$31)</f>
        <v>23304.898949152324</v>
      </c>
      <c r="M17" s="454">
        <f>(('Inc. Stmt.'!L15+((('Bal. Sheet'!K22+'Bal. Sheet'!K23+'Bal. Sheet'!K25)+('Bal. Sheet'!L22+'Bal. Sheet'!L23+'Bal. Sheet'!L25))/2)*'Cost of Debt Calc.'!$C$30)*(1-('Inc. Stmt.'!L16/'Inc. Stmt.'!L15)))-(('Bal. Sheet'!L25+'Bal. Sheet'!L37)*'DCF Model'!$D$31)</f>
        <v>24969.385652075638</v>
      </c>
      <c r="N17" s="454">
        <f>(('Inc. Stmt.'!M15+((('Bal. Sheet'!L22+'Bal. Sheet'!L23+'Bal. Sheet'!L25)+('Bal. Sheet'!M22+'Bal. Sheet'!M23+'Bal. Sheet'!M25))/2)*'Cost of Debt Calc.'!$C$30)*(1-('Inc. Stmt.'!M16/'Inc. Stmt.'!M15)))-(('Bal. Sheet'!M25+'Bal. Sheet'!M37)*'DCF Model'!$D$31)</f>
        <v>26054.462427699124</v>
      </c>
      <c r="O17" s="454">
        <f>(('Inc. Stmt.'!N15+((('Bal. Sheet'!M22+'Bal. Sheet'!M23+'Bal. Sheet'!M25)+('Bal. Sheet'!N22+'Bal. Sheet'!N23+'Bal. Sheet'!N25))/2)*'Cost of Debt Calc.'!$C$30)*(1-('Inc. Stmt.'!N16/'Inc. Stmt.'!N15)))-(('Bal. Sheet'!N25+'Bal. Sheet'!N37)*'DCF Model'!$D$31)</f>
        <v>20711.580993819807</v>
      </c>
      <c r="P17" s="454">
        <f>(('Inc. Stmt.'!O15+((('Bal. Sheet'!N22+'Bal. Sheet'!N23+'Bal. Sheet'!N25)+('Bal. Sheet'!O22+'Bal. Sheet'!O23+'Bal. Sheet'!O25))/2)*'Cost of Debt Calc.'!$C$30)*(1-('Inc. Stmt.'!O16/'Inc. Stmt.'!O15)))-(('Bal. Sheet'!O25+'Bal. Sheet'!O37)*'DCF Model'!$D$31)</f>
        <v>18245.209727917914</v>
      </c>
    </row>
    <row r="18" spans="1:16" ht="16.05" customHeight="1">
      <c r="A18" s="435" t="s">
        <v>165</v>
      </c>
      <c r="B18" s="436" t="s">
        <v>454</v>
      </c>
      <c r="C18" s="449">
        <f>C17/('Bal. Sheet'!B25+'Bal. Sheet'!B37+'Bal. Sheet'!B21)*100</f>
        <v>1.5615706874042765</v>
      </c>
      <c r="D18" s="449">
        <f>D17/('Bal. Sheet'!C25+'Bal. Sheet'!C37+'Bal. Sheet'!C21)*100</f>
        <v>-1.4175585861151412</v>
      </c>
      <c r="E18" s="449">
        <f>E17/('Bal. Sheet'!D25+'Bal. Sheet'!D37+'Bal. Sheet'!D21)*100</f>
        <v>3.3872378675745725</v>
      </c>
      <c r="F18" s="449">
        <f>F17/('Bal. Sheet'!E25+'Bal. Sheet'!E37+'Bal. Sheet'!E21)*100</f>
        <v>4.271115117571286</v>
      </c>
      <c r="G18" s="449">
        <f>G17/('Bal. Sheet'!F25+'Bal. Sheet'!F37+'Bal. Sheet'!F21)*100</f>
        <v>9.7751684535998589</v>
      </c>
      <c r="H18" s="449">
        <f>H17/('Bal. Sheet'!G25+'Bal. Sheet'!G37+'Bal. Sheet'!G21)*100</f>
        <v>6.0484692402533433</v>
      </c>
      <c r="I18" s="449">
        <f>I17/('Bal. Sheet'!H25+'Bal. Sheet'!H37+'Bal. Sheet'!H21)*100</f>
        <v>8.7408157580601671</v>
      </c>
      <c r="J18" s="450">
        <f>J17/('Bal. Sheet'!I25+'Bal. Sheet'!I37+'Bal. Sheet'!I21)*100</f>
        <v>2.8941374168194938</v>
      </c>
      <c r="K18" s="451">
        <f>K17/('Bal. Sheet'!J25+'Bal. Sheet'!J37+'Bal. Sheet'!J21)*100</f>
        <v>2.1471239882746045</v>
      </c>
      <c r="L18" s="451">
        <f>L17/('Bal. Sheet'!K25+'Bal. Sheet'!K37+'Bal. Sheet'!K21)*100</f>
        <v>0.98953735297341083</v>
      </c>
      <c r="M18" s="451">
        <f>M17/('Bal. Sheet'!L25+'Bal. Sheet'!L37+'Bal. Sheet'!L21)*100</f>
        <v>1.0275828666794966</v>
      </c>
      <c r="N18" s="451">
        <f>N17/('Bal. Sheet'!M25+'Bal. Sheet'!M37+'Bal. Sheet'!M21)*100</f>
        <v>1.036802338795658</v>
      </c>
      <c r="O18" s="451">
        <f>O17/('Bal. Sheet'!N25+'Bal. Sheet'!N37+'Bal. Sheet'!N21)*100</f>
        <v>0.76490970605725372</v>
      </c>
      <c r="P18" s="451">
        <f>P17/('Bal. Sheet'!O25+'Bal. Sheet'!O37+'Bal. Sheet'!O21)*100</f>
        <v>0.62576708835153949</v>
      </c>
    </row>
    <row r="19" spans="1:16" ht="16.05" customHeight="1">
      <c r="A19" s="442" t="s">
        <v>440</v>
      </c>
      <c r="B19" s="442"/>
      <c r="C19" s="443"/>
      <c r="D19" s="443"/>
      <c r="E19" s="443"/>
      <c r="F19" s="443"/>
      <c r="G19" s="443"/>
      <c r="H19" s="443"/>
      <c r="I19" s="443"/>
      <c r="J19" s="445"/>
      <c r="K19" s="443"/>
      <c r="L19" s="443"/>
      <c r="M19" s="443"/>
      <c r="N19" s="443"/>
      <c r="O19" s="443"/>
      <c r="P19" s="443"/>
    </row>
    <row r="20" spans="1:16" ht="16.05" customHeight="1">
      <c r="A20" s="435" t="s">
        <v>166</v>
      </c>
      <c r="B20" s="436" t="s">
        <v>167</v>
      </c>
      <c r="C20" s="455">
        <f>'Bal. Sheet'!B8/'Bal. Sheet'!B24</f>
        <v>2.5459263842923492</v>
      </c>
      <c r="D20" s="455">
        <f>'Bal. Sheet'!C8/'Bal. Sheet'!C24</f>
        <v>3.2838775014178077</v>
      </c>
      <c r="E20" s="455">
        <f>'Bal. Sheet'!D8/'Bal. Sheet'!D24</f>
        <v>4.2231164120090829</v>
      </c>
      <c r="F20" s="455">
        <f>'Bal. Sheet'!E8/'Bal. Sheet'!E24</f>
        <v>7.5008796860197595</v>
      </c>
      <c r="G20" s="455">
        <f>'Bal. Sheet'!F8/'Bal. Sheet'!F24</f>
        <v>7.4358890450249282</v>
      </c>
      <c r="H20" s="455">
        <f>'Bal. Sheet'!G8/'Bal. Sheet'!G24</f>
        <v>8.2829341528730165</v>
      </c>
      <c r="I20" s="455">
        <f>'Bal. Sheet'!H8/'Bal. Sheet'!H24</f>
        <v>8.4074803850582214</v>
      </c>
      <c r="J20" s="456">
        <f>'Bal. Sheet'!I8/'Bal. Sheet'!I24</f>
        <v>7.3959591383221905</v>
      </c>
      <c r="K20" s="457">
        <f>'Bal. Sheet'!J8/'Bal. Sheet'!J24</f>
        <v>8.3351604082551596</v>
      </c>
      <c r="L20" s="457">
        <f>'Bal. Sheet'!K8/'Bal. Sheet'!K24</f>
        <v>8.9812383572913159</v>
      </c>
      <c r="M20" s="457">
        <f>'Bal. Sheet'!L8/'Bal. Sheet'!L24</f>
        <v>8.5299256812037676</v>
      </c>
      <c r="N20" s="457">
        <f>'Bal. Sheet'!M8/'Bal. Sheet'!M24</f>
        <v>8.3035601788061069</v>
      </c>
      <c r="O20" s="457">
        <f>'Bal. Sheet'!N8/'Bal. Sheet'!N24</f>
        <v>8.1315102362125167</v>
      </c>
      <c r="P20" s="457">
        <f>'Bal. Sheet'!O8/'Bal. Sheet'!O24</f>
        <v>8.2281556099295301</v>
      </c>
    </row>
    <row r="21" spans="1:16" ht="16.05" customHeight="1">
      <c r="A21" s="435" t="s">
        <v>168</v>
      </c>
      <c r="B21" s="436" t="s">
        <v>455</v>
      </c>
      <c r="C21" s="458">
        <f>'Bal. Sheet'!B5/'Inc. Stmt.'!B5*365</f>
        <v>2.8338627460726982</v>
      </c>
      <c r="D21" s="458">
        <f>'Bal. Sheet'!C5/'Inc. Stmt.'!C5*365</f>
        <v>2.176186746835763</v>
      </c>
      <c r="E21" s="458">
        <f>'Bal. Sheet'!D5/'Inc. Stmt.'!D5*365</f>
        <v>1.9536055064388982</v>
      </c>
      <c r="F21" s="458">
        <f>'Bal. Sheet'!E5/'Inc. Stmt.'!E5*365</f>
        <v>1.7876954199800981</v>
      </c>
      <c r="G21" s="458">
        <f>'Bal. Sheet'!F5/'Inc. Stmt.'!F5*365</f>
        <v>1.0980360031016168</v>
      </c>
      <c r="H21" s="458">
        <f>'Bal. Sheet'!G5/'Inc. Stmt.'!G5*365</f>
        <v>2.1829657255682875</v>
      </c>
      <c r="I21" s="458">
        <f>'Bal. Sheet'!H5/'Inc. Stmt.'!H5*365</f>
        <v>2.4098653465101241</v>
      </c>
      <c r="J21" s="459">
        <f>'Bal. Sheet'!I5/'Inc. Stmt.'!I5*365</f>
        <v>2.0631739277867838</v>
      </c>
      <c r="K21" s="460">
        <f>'Bal. Sheet'!J5/'Inc. Stmt.'!J5*365</f>
        <v>2.8338627460726982</v>
      </c>
      <c r="L21" s="460">
        <f>'Bal. Sheet'!K5/'Inc. Stmt.'!K5*365</f>
        <v>2.176186746835763</v>
      </c>
      <c r="M21" s="460">
        <f>'Bal. Sheet'!L5/'Inc. Stmt.'!L5*365</f>
        <v>1.9536055064388982</v>
      </c>
      <c r="N21" s="460">
        <f>'Bal. Sheet'!M5/'Inc. Stmt.'!M5*365</f>
        <v>1.7876954199800981</v>
      </c>
      <c r="O21" s="460">
        <f>'Bal. Sheet'!N5/'Inc. Stmt.'!N5*365</f>
        <v>1.0980360031016168</v>
      </c>
      <c r="P21" s="460">
        <f>'Bal. Sheet'!O5/'Inc. Stmt.'!O5*365</f>
        <v>2.1829657255682875</v>
      </c>
    </row>
    <row r="22" spans="1:16" ht="16.05" customHeight="1">
      <c r="A22" s="435" t="s">
        <v>169</v>
      </c>
      <c r="B22" s="436" t="s">
        <v>456</v>
      </c>
      <c r="C22" s="458">
        <f>'Bal. Sheet'!B24/('Inc. Stmt.'!B8+'Inc. Stmt.'!B10-'Cash Flow Stmt.'!B5)*365</f>
        <v>191.87440150291297</v>
      </c>
      <c r="D22" s="458">
        <f>'Bal. Sheet'!C24/('Inc. Stmt.'!C8+'Inc. Stmt.'!C10-'Cash Flow Stmt.'!C5)*365</f>
        <v>125.46528758295528</v>
      </c>
      <c r="E22" s="458">
        <f>'Bal. Sheet'!D24/('Inc. Stmt.'!D8+'Inc. Stmt.'!D10-'Cash Flow Stmt.'!D5)*365</f>
        <v>92.108832371438481</v>
      </c>
      <c r="F22" s="458">
        <f>'Bal. Sheet'!E24/('Inc. Stmt.'!E8+'Inc. Stmt.'!E10-'Cash Flow Stmt.'!E5)*365</f>
        <v>55.212250350153802</v>
      </c>
      <c r="G22" s="458">
        <f>'Bal. Sheet'!F24/('Inc. Stmt.'!F8+'Inc. Stmt.'!F10-'Cash Flow Stmt.'!F5)*365</f>
        <v>54.317231283981599</v>
      </c>
      <c r="H22" s="458">
        <f>'Bal. Sheet'!G24/('Inc. Stmt.'!G8+'Inc. Stmt.'!G10-'Cash Flow Stmt.'!G5)*365</f>
        <v>54.655596352257994</v>
      </c>
      <c r="I22" s="458">
        <f>'Bal. Sheet'!H24/('Inc. Stmt.'!H8+'Inc. Stmt.'!H10-'Cash Flow Stmt.'!H5)*365</f>
        <v>57.046534896534496</v>
      </c>
      <c r="J22" s="459">
        <f>'Bal. Sheet'!I24/('Inc. Stmt.'!I8+'Inc. Stmt.'!I10-'Cash Flow Stmt.'!I5)*365</f>
        <v>71.373964938914426</v>
      </c>
      <c r="K22" s="460">
        <f>'Bal. Sheet'!J24/('Inc. Stmt.'!J8+'Inc. Stmt.'!J10-'Cash Flow Stmt.'!J5)*365</f>
        <v>64.075900837012128</v>
      </c>
      <c r="L22" s="460">
        <f>'Bal. Sheet'!K24/('Inc. Stmt.'!K8+'Inc. Stmt.'!K10-'Cash Flow Stmt.'!K5)*365</f>
        <v>59.885185295814487</v>
      </c>
      <c r="M22" s="460">
        <f>'Bal. Sheet'!L24/('Inc. Stmt.'!L8+'Inc. Stmt.'!L10-'Cash Flow Stmt.'!L5)*365</f>
        <v>61.577345641199791</v>
      </c>
      <c r="N22" s="460">
        <f>'Bal. Sheet'!M24/('Inc. Stmt.'!M8+'Inc. Stmt.'!M10-'Cash Flow Stmt.'!M5)*365</f>
        <v>60.561890123420369</v>
      </c>
      <c r="O22" s="460">
        <f>'Bal. Sheet'!N24/('Inc. Stmt.'!N8+'Inc. Stmt.'!N10-'Cash Flow Stmt.'!N5)*365</f>
        <v>60.41508587499974</v>
      </c>
      <c r="P22" s="460">
        <f>'Bal. Sheet'!O24/('Inc. Stmt.'!O8+'Inc. Stmt.'!O10-'Cash Flow Stmt.'!O5)*365</f>
        <v>60.262314266007664</v>
      </c>
    </row>
    <row r="23" spans="1:16" ht="16.05" customHeight="1">
      <c r="A23" s="435" t="s">
        <v>138</v>
      </c>
      <c r="B23" s="436" t="s">
        <v>445</v>
      </c>
      <c r="C23" s="455">
        <f>('Bal. Sheet'!B8-'Bal. Sheet'!B6)/'Bal. Sheet'!B24</f>
        <v>0.22036738326334232</v>
      </c>
      <c r="D23" s="455">
        <f>('Bal. Sheet'!C8-'Bal. Sheet'!C6)/'Bal. Sheet'!C24</f>
        <v>0.23126873531556347</v>
      </c>
      <c r="E23" s="455">
        <f>('Bal. Sheet'!D8-'Bal. Sheet'!D6)/'Bal. Sheet'!D24</f>
        <v>0.28489166367480917</v>
      </c>
      <c r="F23" s="455">
        <f>('Bal. Sheet'!E8-'Bal. Sheet'!E6)/'Bal. Sheet'!E24</f>
        <v>0.71295732395001576</v>
      </c>
      <c r="G23" s="455">
        <f>('Bal. Sheet'!F8-'Bal. Sheet'!F6)/'Bal. Sheet'!F24</f>
        <v>0.58936649406148334</v>
      </c>
      <c r="H23" s="455">
        <f>('Bal. Sheet'!G8-'Bal. Sheet'!G6)/'Bal. Sheet'!G24</f>
        <v>1.0669860737868098</v>
      </c>
      <c r="I23" s="455">
        <f>('Bal. Sheet'!H8-'Bal. Sheet'!H6)/'Bal. Sheet'!H24</f>
        <v>0.74061193079080956</v>
      </c>
      <c r="J23" s="456">
        <f>('Bal. Sheet'!I8-'Bal. Sheet'!I6)/'Bal. Sheet'!I24</f>
        <v>0.82878697649672339</v>
      </c>
      <c r="K23" s="457">
        <f>('Bal. Sheet'!J8-'Bal. Sheet'!J6)/'Bal. Sheet'!J24</f>
        <v>1.0635583605237779</v>
      </c>
      <c r="L23" s="457">
        <f>('Bal. Sheet'!K8-'Bal. Sheet'!K6)/'Bal. Sheet'!K24</f>
        <v>0.80070504736775183</v>
      </c>
      <c r="M23" s="457">
        <f>('Bal. Sheet'!L8-'Bal. Sheet'!L6)/'Bal. Sheet'!L24</f>
        <v>0.52981005441528528</v>
      </c>
      <c r="N23" s="457">
        <f>('Bal. Sheet'!M8-'Bal. Sheet'!M6)/'Bal. Sheet'!M24</f>
        <v>0.54461052422864387</v>
      </c>
      <c r="O23" s="457">
        <f>('Bal. Sheet'!N8-'Bal. Sheet'!N6)/'Bal. Sheet'!N24</f>
        <v>0.40926085314035721</v>
      </c>
      <c r="P23" s="457">
        <f>('Bal. Sheet'!O8-'Bal. Sheet'!O6)/'Bal. Sheet'!O24</f>
        <v>0.70137980276088119</v>
      </c>
    </row>
    <row r="24" spans="1:16" ht="16.05" customHeight="1">
      <c r="A24" s="442" t="s">
        <v>441</v>
      </c>
      <c r="B24" s="442"/>
      <c r="C24" s="443"/>
      <c r="D24" s="443"/>
      <c r="E24" s="443"/>
      <c r="F24" s="443"/>
      <c r="G24" s="443"/>
      <c r="H24" s="443"/>
      <c r="I24" s="443"/>
      <c r="J24" s="445"/>
      <c r="K24" s="443"/>
      <c r="L24" s="443"/>
      <c r="M24" s="443"/>
      <c r="N24" s="443"/>
      <c r="O24" s="443"/>
      <c r="P24" s="443"/>
    </row>
    <row r="25" spans="1:16" ht="16.05" customHeight="1">
      <c r="A25" s="435" t="s">
        <v>170</v>
      </c>
      <c r="B25" s="436" t="s">
        <v>457</v>
      </c>
      <c r="C25" s="449">
        <f>('Bal. Sheet'!B22+'Bal. Sheet'!B23+'Bal. Sheet'!B25)/'Bal. Sheet'!B16*100</f>
        <v>25.558591169170409</v>
      </c>
      <c r="D25" s="449">
        <f>('Bal. Sheet'!C22+'Bal. Sheet'!C23+'Bal. Sheet'!C25)/'Bal. Sheet'!C16*100</f>
        <v>27.188737452015271</v>
      </c>
      <c r="E25" s="449">
        <f>('Bal. Sheet'!D22+'Bal. Sheet'!D23+'Bal. Sheet'!D25)/'Bal. Sheet'!D16*100</f>
        <v>22.23478455210968</v>
      </c>
      <c r="F25" s="449">
        <f>('Bal. Sheet'!E22+'Bal. Sheet'!E23+'Bal. Sheet'!E25)/'Bal. Sheet'!E16*100</f>
        <v>23.658612233071025</v>
      </c>
      <c r="G25" s="449">
        <f>('Bal. Sheet'!F22+'Bal. Sheet'!F23+'Bal. Sheet'!F25)/'Bal. Sheet'!F16*100</f>
        <v>22.217041387953554</v>
      </c>
      <c r="H25" s="449">
        <f>('Bal. Sheet'!G22+'Bal. Sheet'!G23+'Bal. Sheet'!G25)/'Bal. Sheet'!G16*100</f>
        <v>18.228619237010939</v>
      </c>
      <c r="I25" s="449">
        <f>('Bal. Sheet'!H22+'Bal. Sheet'!H23+'Bal. Sheet'!H25)/'Bal. Sheet'!H16*100</f>
        <v>14.960306560817497</v>
      </c>
      <c r="J25" s="450">
        <f>('Bal. Sheet'!I22+'Bal. Sheet'!I23+'Bal. Sheet'!I25)/'Bal. Sheet'!I16*100</f>
        <v>14.94630047941215</v>
      </c>
      <c r="K25" s="451">
        <f>('Bal. Sheet'!J22+'Bal. Sheet'!J23+'Bal. Sheet'!J25)/'Bal. Sheet'!J16*100</f>
        <v>11.329626648389274</v>
      </c>
      <c r="L25" s="451">
        <f>('Bal. Sheet'!K22+'Bal. Sheet'!K23+'Bal. Sheet'!K25)/'Bal. Sheet'!K16*100</f>
        <v>9.0117734236962921</v>
      </c>
      <c r="M25" s="451">
        <f>('Bal. Sheet'!L22+'Bal. Sheet'!L23+'Bal. Sheet'!L25)/'Bal. Sheet'!L16*100</f>
        <v>5.5611785034967829</v>
      </c>
      <c r="N25" s="451">
        <f>('Bal. Sheet'!M22+'Bal. Sheet'!M23+'Bal. Sheet'!M25)/'Bal. Sheet'!M16*100</f>
        <v>2.0934739138306639</v>
      </c>
      <c r="O25" s="451">
        <f>('Bal. Sheet'!N22+'Bal. Sheet'!N23+'Bal. Sheet'!N25)/'Bal. Sheet'!N16*100</f>
        <v>2.1165479066159421</v>
      </c>
      <c r="P25" s="451">
        <f>('Bal. Sheet'!O22+'Bal. Sheet'!O23+'Bal. Sheet'!O25)/'Bal. Sheet'!O16*100</f>
        <v>2.0749504663327554</v>
      </c>
    </row>
    <row r="26" spans="1:16" ht="16.05" customHeight="1">
      <c r="A26" s="435" t="s">
        <v>171</v>
      </c>
      <c r="B26" s="436" t="s">
        <v>458</v>
      </c>
      <c r="C26" s="449">
        <f>'Bal. Sheet'!B37/'Bal. Sheet'!B16*100</f>
        <v>61.940802983574528</v>
      </c>
      <c r="D26" s="449">
        <f>'Bal. Sheet'!C37/'Bal. Sheet'!C16*100</f>
        <v>61.264546753485568</v>
      </c>
      <c r="E26" s="449">
        <f>'Bal. Sheet'!D37/'Bal. Sheet'!D16*100</f>
        <v>65.67335492750648</v>
      </c>
      <c r="F26" s="449">
        <f>'Bal. Sheet'!E37/'Bal. Sheet'!E16*100</f>
        <v>62.501907703041141</v>
      </c>
      <c r="G26" s="449">
        <f>'Bal. Sheet'!F37/'Bal. Sheet'!F16*100</f>
        <v>65.400214414060727</v>
      </c>
      <c r="H26" s="449">
        <f>'Bal. Sheet'!G37/'Bal. Sheet'!G16*100</f>
        <v>69.265862672059328</v>
      </c>
      <c r="I26" s="449">
        <f>'Bal. Sheet'!H37/'Bal. Sheet'!H16*100</f>
        <v>73.487040409885537</v>
      </c>
      <c r="J26" s="450">
        <f>'Bal. Sheet'!I37/'Bal. Sheet'!I16*100</f>
        <v>73.815294156052502</v>
      </c>
      <c r="K26" s="451">
        <f>'Bal. Sheet'!J37/'Bal. Sheet'!J16*100</f>
        <v>76.953932390337471</v>
      </c>
      <c r="L26" s="451">
        <f>'Bal. Sheet'!K37/'Bal. Sheet'!K16*100</f>
        <v>80.524893364041816</v>
      </c>
      <c r="M26" s="451">
        <f>'Bal. Sheet'!L37/'Bal. Sheet'!L16*100</f>
        <v>81.820935043173066</v>
      </c>
      <c r="N26" s="451">
        <f>'Bal. Sheet'!M37/'Bal. Sheet'!M16*100</f>
        <v>85.179369074362512</v>
      </c>
      <c r="O26" s="451">
        <f>'Bal. Sheet'!N37/'Bal. Sheet'!N16*100</f>
        <v>88.3415221482514</v>
      </c>
      <c r="P26" s="451">
        <f>'Bal. Sheet'!O37/'Bal. Sheet'!O16*100</f>
        <v>88.469352719313108</v>
      </c>
    </row>
    <row r="27" spans="1:16" ht="16.05" customHeight="1">
      <c r="A27" s="435" t="s">
        <v>172</v>
      </c>
      <c r="B27" s="436" t="s">
        <v>459</v>
      </c>
      <c r="C27" s="455">
        <f>('Bal. Sheet'!B22+'Bal. Sheet'!B23+'Bal. Sheet'!B25)/'Bal. Sheet'!B37</f>
        <v>0.41262931602530312</v>
      </c>
      <c r="D27" s="455">
        <f>('Bal. Sheet'!C22+'Bal. Sheet'!C23+'Bal. Sheet'!C25)/'Bal. Sheet'!C37</f>
        <v>0.4437923545148631</v>
      </c>
      <c r="E27" s="455">
        <f>('Bal. Sheet'!D22+'Bal. Sheet'!D23+'Bal. Sheet'!D25)/'Bal. Sheet'!D37</f>
        <v>0.33856629643260255</v>
      </c>
      <c r="F27" s="455">
        <f>('Bal. Sheet'!E22+'Bal. Sheet'!E23+'Bal. Sheet'!E25)/'Bal. Sheet'!E37</f>
        <v>0.37852624187853184</v>
      </c>
      <c r="G27" s="455">
        <f>('Bal. Sheet'!F22+'Bal. Sheet'!F23+'Bal. Sheet'!F25)/'Bal. Sheet'!F37</f>
        <v>0.33970899922886183</v>
      </c>
      <c r="H27" s="455">
        <f>('Bal. Sheet'!G22+'Bal. Sheet'!G23+'Bal. Sheet'!G25)/'Bal. Sheet'!G37</f>
        <v>0.26316887617952173</v>
      </c>
      <c r="I27" s="455">
        <f>('Bal. Sheet'!H22+'Bal. Sheet'!H23+'Bal. Sheet'!H25)/'Bal. Sheet'!H37</f>
        <v>0.20357748083708407</v>
      </c>
      <c r="J27" s="456">
        <f>('Bal. Sheet'!I22+'Bal. Sheet'!I23+'Bal. Sheet'!I25)/'Bal. Sheet'!I37</f>
        <v>0.20248243470810073</v>
      </c>
      <c r="K27" s="457">
        <f>('Bal. Sheet'!J22+'Bal. Sheet'!J23+'Bal. Sheet'!J25)/'Bal. Sheet'!J37</f>
        <v>0.14722609094128439</v>
      </c>
      <c r="L27" s="457">
        <f>('Bal. Sheet'!K22+'Bal. Sheet'!K23+'Bal. Sheet'!K25)/'Bal. Sheet'!K37</f>
        <v>0.11191288863873834</v>
      </c>
      <c r="M27" s="457">
        <f>('Bal. Sheet'!L22+'Bal. Sheet'!L23+'Bal. Sheet'!L25)/'Bal. Sheet'!L37</f>
        <v>6.796767233914415E-2</v>
      </c>
      <c r="N27" s="457">
        <f>('Bal. Sheet'!M22+'Bal. Sheet'!M23+'Bal. Sheet'!M25)/'Bal. Sheet'!M37</f>
        <v>2.4577241374058999E-2</v>
      </c>
      <c r="O27" s="457">
        <f>('Bal. Sheet'!N22+'Bal. Sheet'!N23+'Bal. Sheet'!N25)/'Bal. Sheet'!N37</f>
        <v>2.3958698640759574E-2</v>
      </c>
      <c r="P27" s="457">
        <f>('Bal. Sheet'!O22+'Bal. Sheet'!O23+'Bal. Sheet'!O25)/'Bal. Sheet'!O37</f>
        <v>2.345388999189307E-2</v>
      </c>
    </row>
    <row r="28" spans="1:16" ht="16.05" customHeight="1">
      <c r="A28" s="435" t="s">
        <v>173</v>
      </c>
      <c r="B28" s="436" t="s">
        <v>460</v>
      </c>
      <c r="C28" s="449">
        <f>'Bal. Sheet'!B25/('Bal. Sheet'!B25+'Bal. Sheet'!B37)*100</f>
        <v>0</v>
      </c>
      <c r="D28" s="449">
        <f>'Bal. Sheet'!C25/('Bal. Sheet'!C25+'Bal. Sheet'!C37)*100</f>
        <v>12.037697543952863</v>
      </c>
      <c r="E28" s="449">
        <f>'Bal. Sheet'!D25/('Bal. Sheet'!D25+'Bal. Sheet'!D37)*100</f>
        <v>14.603696422583551</v>
      </c>
      <c r="F28" s="449">
        <f>'Bal. Sheet'!E25/('Bal. Sheet'!E25+'Bal. Sheet'!E37)*100</f>
        <v>27.40258467168788</v>
      </c>
      <c r="G28" s="449">
        <f>'Bal. Sheet'!F25/('Bal. Sheet'!F25+'Bal. Sheet'!F37)*100</f>
        <v>23.672319968420457</v>
      </c>
      <c r="H28" s="449">
        <f>'Bal. Sheet'!G25/('Bal. Sheet'!G25+'Bal. Sheet'!G37)*100</f>
        <v>20.324201134069227</v>
      </c>
      <c r="I28" s="449">
        <f>'Bal. Sheet'!H25/('Bal. Sheet'!H25+'Bal. Sheet'!H37)*100</f>
        <v>15.317964665585002</v>
      </c>
      <c r="J28" s="450">
        <f>'Bal. Sheet'!I25/('Bal. Sheet'!I25+'Bal. Sheet'!I37)*100</f>
        <v>13.905730461813132</v>
      </c>
      <c r="K28" s="451">
        <f>'Bal. Sheet'!J25/('Bal. Sheet'!J25+'Bal. Sheet'!J37)*100</f>
        <v>10.683858626303795</v>
      </c>
      <c r="L28" s="451">
        <f>'Bal. Sheet'!K25/('Bal. Sheet'!K25+'Bal. Sheet'!K37)*100</f>
        <v>8.5064124300966188</v>
      </c>
      <c r="M28" s="451">
        <f>'Bal. Sheet'!L25/('Bal. Sheet'!L25+'Bal. Sheet'!L37)*100</f>
        <v>4.1166027979568458</v>
      </c>
      <c r="N28" s="451">
        <f>'Bal. Sheet'!M25/('Bal. Sheet'!M25+'Bal. Sheet'!M37)*100</f>
        <v>0</v>
      </c>
      <c r="O28" s="451">
        <f>'Bal. Sheet'!N25/('Bal. Sheet'!N25+'Bal. Sheet'!N37)*100</f>
        <v>0</v>
      </c>
      <c r="P28" s="451">
        <f>'Bal. Sheet'!O25/('Bal. Sheet'!O25+'Bal. Sheet'!O37)*100</f>
        <v>0</v>
      </c>
    </row>
    <row r="29" spans="1:16" ht="16.05" customHeight="1">
      <c r="A29" s="442" t="s">
        <v>442</v>
      </c>
      <c r="B29" s="442"/>
      <c r="C29" s="443"/>
      <c r="D29" s="443"/>
      <c r="E29" s="443"/>
      <c r="F29" s="443"/>
      <c r="G29" s="443"/>
      <c r="H29" s="443"/>
      <c r="I29" s="443"/>
      <c r="J29" s="445"/>
      <c r="K29" s="443"/>
      <c r="L29" s="443"/>
      <c r="M29" s="443"/>
      <c r="N29" s="443"/>
      <c r="O29" s="443"/>
      <c r="P29" s="443"/>
    </row>
    <row r="30" spans="1:16" ht="16.05" customHeight="1">
      <c r="A30" s="435" t="s">
        <v>174</v>
      </c>
      <c r="B30" s="436" t="s">
        <v>461</v>
      </c>
      <c r="C30" s="455">
        <f>('Inc. Stmt.'!B15+('Bal. Sheet'!B22+'Bal. Sheet'!B23+'Bal. Sheet'!B25)*'Cost of Debt Calc.'!$C$30)/(('Bal. Sheet'!B22+'Bal. Sheet'!B23+'Bal. Sheet'!B25)*'Cost of Debt Calc.'!$C$30)</f>
        <v>9.7004300895224063</v>
      </c>
      <c r="D30" s="455">
        <f>('Inc. Stmt.'!C15+((('Bal. Sheet'!B22+'Bal. Sheet'!B23+'Bal. Sheet'!B25)+('Bal. Sheet'!C22+'Bal. Sheet'!C23+'Bal. Sheet'!C25))/2)*'Cost of Debt Calc.'!$C$30)/(((('Bal. Sheet'!B22+'Bal. Sheet'!B23+'Bal. Sheet'!B25)+('Bal. Sheet'!C22+'Bal. Sheet'!C23+'Bal. Sheet'!C25))/2)*'Cost of Debt Calc.'!$C$30)</f>
        <v>9.2118866274348612</v>
      </c>
      <c r="E30" s="455">
        <f>('Inc. Stmt.'!D15+((('Bal. Sheet'!C22+'Bal. Sheet'!C23+'Bal. Sheet'!C25)+('Bal. Sheet'!D22+'Bal. Sheet'!D23+'Bal. Sheet'!D25))/2)*'Cost of Debt Calc.'!$C$30)/(((('Bal. Sheet'!C22+'Bal. Sheet'!C23+'Bal. Sheet'!C25)+('Bal. Sheet'!D22+'Bal. Sheet'!D23+'Bal. Sheet'!D25))/2)*'Cost of Debt Calc.'!$C$30)</f>
        <v>14.315336435743992</v>
      </c>
      <c r="F30" s="455">
        <f>('Inc. Stmt.'!E15+((('Bal. Sheet'!D22+'Bal. Sheet'!D23+'Bal. Sheet'!D25)+('Bal. Sheet'!E22+'Bal. Sheet'!E23+'Bal. Sheet'!E25))/2)*'Cost of Debt Calc.'!$C$30)/(((('Bal. Sheet'!D22+'Bal. Sheet'!D23+'Bal. Sheet'!D25)+('Bal. Sheet'!E22+'Bal. Sheet'!E23+'Bal. Sheet'!E25))/2)*'Cost of Debt Calc.'!$C$30)</f>
        <v>20.724240623090022</v>
      </c>
      <c r="G30" s="455">
        <f>('Inc. Stmt.'!F15+((('Bal. Sheet'!E22+'Bal. Sheet'!E23+'Bal. Sheet'!E25)+('Bal. Sheet'!F22+'Bal. Sheet'!F23+'Bal. Sheet'!F25))/2)*'Cost of Debt Calc.'!$C$30)/(((('Bal. Sheet'!E22+'Bal. Sheet'!E23+'Bal. Sheet'!E25)+('Bal. Sheet'!F22+'Bal. Sheet'!F23+'Bal. Sheet'!F25))/2)*'Cost of Debt Calc.'!$C$30)</f>
        <v>25.035704273507772</v>
      </c>
      <c r="H30" s="455">
        <f>('Inc. Stmt.'!G15+((('Bal. Sheet'!F22+'Bal. Sheet'!F23+'Bal. Sheet'!F25)+('Bal. Sheet'!G22+'Bal. Sheet'!G23+'Bal. Sheet'!G25))/2)*'Cost of Debt Calc.'!$C$30)/(((('Bal. Sheet'!F22+'Bal. Sheet'!F23+'Bal. Sheet'!F25)+('Bal. Sheet'!G22+'Bal. Sheet'!G23+'Bal. Sheet'!G25))/2)*'Cost of Debt Calc.'!$C$30)</f>
        <v>24.375962341807604</v>
      </c>
      <c r="I30" s="455">
        <f>('Inc. Stmt.'!H15+((('Bal. Sheet'!G22+'Bal. Sheet'!G23+'Bal. Sheet'!G25)+('Bal. Sheet'!H22+'Bal. Sheet'!H23+'Bal. Sheet'!H25))/2)*'Cost of Debt Calc.'!$C$30)/(((('Bal. Sheet'!G22+'Bal. Sheet'!G23+'Bal. Sheet'!G25)+('Bal. Sheet'!H22+'Bal. Sheet'!H23+'Bal. Sheet'!H25))/2)*'Cost of Debt Calc.'!$C$30)</f>
        <v>32.975803526371209</v>
      </c>
      <c r="J30" s="456">
        <f>('Inc. Stmt.'!I15+((('Bal. Sheet'!H22+'Bal. Sheet'!H23+'Bal. Sheet'!H25)+('Bal. Sheet'!I22+'Bal. Sheet'!I23+'Bal. Sheet'!I25))/2)*'Cost of Debt Calc.'!$C$30)/(((('Bal. Sheet'!H22+'Bal. Sheet'!H23+'Bal. Sheet'!H25)+('Bal. Sheet'!I22+'Bal. Sheet'!I23+'Bal. Sheet'!I25))/2)*'Cost of Debt Calc.'!$C$30)</f>
        <v>27.105780798167054</v>
      </c>
      <c r="K30" s="457">
        <f>('Inc. Stmt.'!J15+((('Bal. Sheet'!I22+'Bal. Sheet'!I23+'Bal. Sheet'!I25)+('Bal. Sheet'!J22+'Bal. Sheet'!J23+'Bal. Sheet'!J25))/2)*'Cost of Debt Calc.'!$C$30)/(((('Bal. Sheet'!I22+'Bal. Sheet'!I23+'Bal. Sheet'!I25)+('Bal. Sheet'!J22+'Bal. Sheet'!J23+'Bal. Sheet'!J25))/2)*'Cost of Debt Calc.'!$C$30)</f>
        <v>28.432319989972896</v>
      </c>
      <c r="L30" s="457">
        <f>('Inc. Stmt.'!K15+((('Bal. Sheet'!J22+'Bal. Sheet'!J23+'Bal. Sheet'!J25)+('Bal. Sheet'!K22+'Bal. Sheet'!K23+'Bal. Sheet'!K25))/2)*'Cost of Debt Calc.'!$C$30)/(((('Bal. Sheet'!J22+'Bal. Sheet'!J23+'Bal. Sheet'!J25)+('Bal. Sheet'!K22+'Bal. Sheet'!K23+'Bal. Sheet'!K25))/2)*'Cost of Debt Calc.'!$C$30)</f>
        <v>34.865904268386792</v>
      </c>
      <c r="M30" s="457">
        <f>('Inc. Stmt.'!L15+((('Bal. Sheet'!K22+'Bal. Sheet'!K23+'Bal. Sheet'!K25)+('Bal. Sheet'!L22+'Bal. Sheet'!L23+'Bal. Sheet'!L25))/2)*'Cost of Debt Calc.'!$C$30)/(((('Bal. Sheet'!K22+'Bal. Sheet'!K23+'Bal. Sheet'!K25)+('Bal. Sheet'!L22+'Bal. Sheet'!L23+'Bal. Sheet'!L25))/2)*'Cost of Debt Calc.'!$C$30)</f>
        <v>48.203097457178053</v>
      </c>
      <c r="N30" s="457">
        <f>('Inc. Stmt.'!M15+((('Bal. Sheet'!L22+'Bal. Sheet'!L23+'Bal. Sheet'!L25)+('Bal. Sheet'!M22+'Bal. Sheet'!M23+'Bal. Sheet'!M25))/2)*'Cost of Debt Calc.'!$C$30)/(((('Bal. Sheet'!L22+'Bal. Sheet'!L23+'Bal. Sheet'!L25)+('Bal. Sheet'!M22+'Bal. Sheet'!M23+'Bal. Sheet'!M25))/2)*'Cost of Debt Calc.'!$C$30)</f>
        <v>90.535566250292149</v>
      </c>
      <c r="O30" s="457">
        <f>('Inc. Stmt.'!N15+((('Bal. Sheet'!M22+'Bal. Sheet'!M23+'Bal. Sheet'!M25)+('Bal. Sheet'!N22+'Bal. Sheet'!N23+'Bal. Sheet'!N25))/2)*'Cost of Debt Calc.'!$C$30)/(((('Bal. Sheet'!M22+'Bal. Sheet'!M23+'Bal. Sheet'!M25)+('Bal. Sheet'!N22+'Bal. Sheet'!N23+'Bal. Sheet'!N25))/2)*'Cost of Debt Calc.'!$C$30)</f>
        <v>166.34283091742157</v>
      </c>
      <c r="P30" s="457">
        <f>('Inc. Stmt.'!O15+((('Bal. Sheet'!N22+'Bal. Sheet'!N23+'Bal. Sheet'!N25)+('Bal. Sheet'!O22+'Bal. Sheet'!O23+'Bal. Sheet'!O25))/2)*'Cost of Debt Calc.'!$C$30)/(((('Bal. Sheet'!N22+'Bal. Sheet'!N23+'Bal. Sheet'!N25)+('Bal. Sheet'!O22+'Bal. Sheet'!O23+'Bal. Sheet'!O25))/2)*'Cost of Debt Calc.'!$C$30)</f>
        <v>168.51927393918504</v>
      </c>
    </row>
    <row r="31" spans="1:16" ht="16.05" customHeight="1">
      <c r="A31" s="435" t="s">
        <v>175</v>
      </c>
      <c r="B31" s="436" t="s">
        <v>176</v>
      </c>
      <c r="C31" s="455">
        <f>('Inc. Stmt.'!B17+'Cash Flow Stmt.'!B5)/('Bal. Sheet'!B24+'Bal. Sheet'!B25)</f>
        <v>0.23457880245849208</v>
      </c>
      <c r="D31" s="455">
        <f>('Inc. Stmt.'!C17+'Cash Flow Stmt.'!C5)/('Bal. Sheet'!C24+'Bal. Sheet'!C25)</f>
        <v>0.21039073769928746</v>
      </c>
      <c r="E31" s="455">
        <f>('Inc. Stmt.'!D17+'Cash Flow Stmt.'!D5)/('Bal. Sheet'!D24+'Bal. Sheet'!D25)</f>
        <v>0.37312726747704489</v>
      </c>
      <c r="F31" s="455">
        <f>('Inc. Stmt.'!E17+'Cash Flow Stmt.'!E5)/('Bal. Sheet'!E24+'Bal. Sheet'!E25)</f>
        <v>0.4039240846987609</v>
      </c>
      <c r="G31" s="455">
        <f>('Inc. Stmt.'!F17+'Cash Flow Stmt.'!F5)/('Bal. Sheet'!F24+'Bal. Sheet'!F25)</f>
        <v>0.58195691483588752</v>
      </c>
      <c r="H31" s="455">
        <f>('Inc. Stmt.'!G17+'Cash Flow Stmt.'!G5)/('Bal. Sheet'!G24+'Bal. Sheet'!G25)</f>
        <v>0.56538918576083863</v>
      </c>
      <c r="I31" s="455">
        <f>('Inc. Stmt.'!H17+'Cash Flow Stmt.'!H5)/('Bal. Sheet'!H24+'Bal. Sheet'!H25)</f>
        <v>0.76478849502836921</v>
      </c>
      <c r="J31" s="456">
        <f>('Inc. Stmt.'!I17+'Cash Flow Stmt.'!I5)/('Bal. Sheet'!I24+'Bal. Sheet'!I25)</f>
        <v>0.54421944665008437</v>
      </c>
      <c r="K31" s="457">
        <f>('Inc. Stmt.'!J17+'Cash Flow Stmt.'!J5)/('Bal. Sheet'!J24+'Bal. Sheet'!J25)</f>
        <v>0.62866975281212611</v>
      </c>
      <c r="L31" s="457">
        <f>('Inc. Stmt.'!K17+'Cash Flow Stmt.'!K5)/('Bal. Sheet'!K24+'Bal. Sheet'!K25)</f>
        <v>0.68238978997965583</v>
      </c>
      <c r="M31" s="457">
        <f>('Inc. Stmt.'!L17+'Cash Flow Stmt.'!L5)/('Bal. Sheet'!L24+'Bal. Sheet'!L25)</f>
        <v>0.82510208726622847</v>
      </c>
      <c r="N31" s="457">
        <f>('Inc. Stmt.'!M17+'Cash Flow Stmt.'!M5)/('Bal. Sheet'!M24+'Bal. Sheet'!M25)</f>
        <v>1.0676118118578664</v>
      </c>
      <c r="O31" s="457">
        <f>('Inc. Stmt.'!N17+'Cash Flow Stmt.'!N5)/('Bal. Sheet'!N24+'Bal. Sheet'!N25)</f>
        <v>1.0702060306258254</v>
      </c>
      <c r="P31" s="457">
        <f>('Inc. Stmt.'!O17+'Cash Flow Stmt.'!O5)/('Bal. Sheet'!O24+'Bal. Sheet'!O25)</f>
        <v>1.072919120875397</v>
      </c>
    </row>
    <row r="32" spans="1:16" ht="16.05" customHeight="1">
      <c r="A32" s="435" t="s">
        <v>177</v>
      </c>
      <c r="B32" s="436" t="s">
        <v>462</v>
      </c>
      <c r="C32" s="455">
        <f>('Inc. Stmt.'!B17+'Cash Flow Stmt.'!B5)/((MAX(0,-'Cash Flow Stmt.'!B34)+MAX(0,-'Cash Flow Stmt.'!B35))+('Bal. Sheet'!B22+'Bal. Sheet'!B23+'Bal. Sheet'!B25)*'Cost of Debt Calc.'!$C$30)</f>
        <v>0.84998795608445576</v>
      </c>
      <c r="D32" s="455">
        <f>('Inc. Stmt.'!C17+'Cash Flow Stmt.'!C5)/((MAX(0,-'Cash Flow Stmt.'!C34)+MAX(0,-'Cash Flow Stmt.'!C35))+((('Bal. Sheet'!B22+'Bal. Sheet'!B23+'Bal. Sheet'!B25)+('Bal. Sheet'!C22+'Bal. Sheet'!C23+'Bal. Sheet'!C25))/2)*'Cost of Debt Calc.'!$C$30)</f>
        <v>0.24931074412740226</v>
      </c>
      <c r="E32" s="455">
        <f>('Inc. Stmt.'!D17+'Cash Flow Stmt.'!D5)/((MAX(0,-'Cash Flow Stmt.'!D34)+MAX(0,-'Cash Flow Stmt.'!D35))+((('Bal. Sheet'!C22+'Bal. Sheet'!C23+'Bal. Sheet'!C25)+('Bal. Sheet'!D22+'Bal. Sheet'!D23+'Bal. Sheet'!D25))/2)*'Cost of Debt Calc.'!$C$30)</f>
        <v>0.28699360935153162</v>
      </c>
      <c r="F32" s="455">
        <f>('Inc. Stmt.'!E17+'Cash Flow Stmt.'!E5)/((MAX(0,-'Cash Flow Stmt.'!E34)+MAX(0,-'Cash Flow Stmt.'!E35))+((('Bal. Sheet'!D22+'Bal. Sheet'!D23+'Bal. Sheet'!D25)+('Bal. Sheet'!E22+'Bal. Sheet'!E23+'Bal. Sheet'!E25))/2)*'Cost of Debt Calc.'!$C$30)</f>
        <v>0.23839560335888316</v>
      </c>
      <c r="G32" s="455">
        <f>('Inc. Stmt.'!F17+'Cash Flow Stmt.'!F5)/((MAX(0,-'Cash Flow Stmt.'!F34)+MAX(0,-'Cash Flow Stmt.'!F35))+((('Bal. Sheet'!E22+'Bal. Sheet'!E23+'Bal. Sheet'!E25)+('Bal. Sheet'!F22+'Bal. Sheet'!F23+'Bal. Sheet'!F25))/2)*'Cost of Debt Calc.'!$C$30)</f>
        <v>0.75595675929506023</v>
      </c>
      <c r="H32" s="455">
        <f>('Inc. Stmt.'!G17+'Cash Flow Stmt.'!G5)/((MAX(0,-'Cash Flow Stmt.'!G34)+MAX(0,-'Cash Flow Stmt.'!G35))+((('Bal. Sheet'!F22+'Bal. Sheet'!F23+'Bal. Sheet'!F25)+('Bal. Sheet'!G22+'Bal. Sheet'!G23+'Bal. Sheet'!G25))/2)*'Cost of Debt Calc.'!$C$30)</f>
        <v>5.2812417045457094</v>
      </c>
      <c r="I32" s="455">
        <f>('Inc. Stmt.'!H17+'Cash Flow Stmt.'!H5)/((MAX(0,-'Cash Flow Stmt.'!H34)+MAX(0,-'Cash Flow Stmt.'!H35))+((('Bal. Sheet'!G22+'Bal. Sheet'!G23+'Bal. Sheet'!G25)+('Bal. Sheet'!H22+'Bal. Sheet'!H23+'Bal. Sheet'!H25))/2)*'Cost of Debt Calc.'!$C$30)</f>
        <v>3.1376043621921657</v>
      </c>
      <c r="J32" s="456">
        <f>('Inc. Stmt.'!I17+'Cash Flow Stmt.'!I5)/((MAX(0,-'Cash Flow Stmt.'!I34)+MAX(0,-'Cash Flow Stmt.'!I35))+((('Bal. Sheet'!H22+'Bal. Sheet'!H23+'Bal. Sheet'!H25)+('Bal. Sheet'!I22+'Bal. Sheet'!I23+'Bal. Sheet'!I25))/2)*'Cost of Debt Calc.'!$C$30)</f>
        <v>6.2559562145625094</v>
      </c>
      <c r="K32" s="457">
        <f>('Inc. Stmt.'!J17+'Cash Flow Stmt.'!J5)/((MAX(0,-'Cash Flow Stmt.'!J34)+MAX(0,-'Cash Flow Stmt.'!J35))+((('Bal. Sheet'!I22+'Bal. Sheet'!I23+'Bal. Sheet'!I25)+('Bal. Sheet'!J22+'Bal. Sheet'!J23+'Bal. Sheet'!J25))/2)*'Cost of Debt Calc.'!$C$30)</f>
        <v>2.1278044532744569</v>
      </c>
      <c r="L32" s="457">
        <f>('Inc. Stmt.'!K17+'Cash Flow Stmt.'!K5)/((MAX(0,-'Cash Flow Stmt.'!K34)+MAX(0,-'Cash Flow Stmt.'!K35))+((('Bal. Sheet'!J22+'Bal. Sheet'!J23+'Bal. Sheet'!J25)+('Bal. Sheet'!K22+'Bal. Sheet'!K23+'Bal. Sheet'!K25))/2)*'Cost of Debt Calc.'!$C$30)</f>
        <v>4.3847491266382947</v>
      </c>
      <c r="M32" s="457">
        <f>('Inc. Stmt.'!L17+'Cash Flow Stmt.'!L5)/((MAX(0,-'Cash Flow Stmt.'!L34)+MAX(0,-'Cash Flow Stmt.'!L35))+((('Bal. Sheet'!K22+'Bal. Sheet'!K23+'Bal. Sheet'!K25)+('Bal. Sheet'!L22+'Bal. Sheet'!L23+'Bal. Sheet'!L25))/2)*'Cost of Debt Calc.'!$C$30)</f>
        <v>5.3313671533360623</v>
      </c>
      <c r="N32" s="457">
        <f>('Inc. Stmt.'!M17+'Cash Flow Stmt.'!M5)/((MAX(0,-'Cash Flow Stmt.'!M34)+MAX(0,-'Cash Flow Stmt.'!M35))+((('Bal. Sheet'!L22+'Bal. Sheet'!L23+'Bal. Sheet'!L25)+('Bal. Sheet'!M22+'Bal. Sheet'!M23+'Bal. Sheet'!M25))/2)*'Cost of Debt Calc.'!$C$30)</f>
        <v>4.2501452221361165</v>
      </c>
      <c r="O32" s="457">
        <f>('Inc. Stmt.'!N17+'Cash Flow Stmt.'!N5)/((MAX(0,-'Cash Flow Stmt.'!N34)+MAX(0,-'Cash Flow Stmt.'!N35))+((('Bal. Sheet'!M22+'Bal. Sheet'!M23+'Bal. Sheet'!M25)+('Bal. Sheet'!N22+'Bal. Sheet'!N23+'Bal. Sheet'!N25))/2)*'Cost of Debt Calc.'!$C$30)</f>
        <v>4.7364304852822423</v>
      </c>
      <c r="P32" s="457">
        <f>('Inc. Stmt.'!O17+'Cash Flow Stmt.'!O5)/((MAX(0,-'Cash Flow Stmt.'!O34)+MAX(0,-'Cash Flow Stmt.'!O35))+((('Bal. Sheet'!N22+'Bal. Sheet'!N23+'Bal. Sheet'!N25)+('Bal. Sheet'!O22+'Bal. Sheet'!O23+'Bal. Sheet'!O25))/2)*'Cost of Debt Calc.'!$C$30)</f>
        <v>130.63705578424566</v>
      </c>
    </row>
    <row r="33" spans="1:16" ht="16.05" customHeight="1">
      <c r="A33" s="435" t="s">
        <v>178</v>
      </c>
      <c r="B33" s="436" t="s">
        <v>463</v>
      </c>
      <c r="C33" s="455">
        <f>('Inc. Stmt.'!B15+('Bal. Sheet'!B22+'Bal. Sheet'!B23+'Bal. Sheet'!B25)*'Cost of Debt Calc.'!$C$30+'Cash Flow Stmt.'!B5)/(('Bal. Sheet'!B22+'Bal. Sheet'!B23+'Bal. Sheet'!B25)*'Cost of Debt Calc.'!$C$30+((MAX(0,-'Cash Flow Stmt.'!B34)+MAX(0,-'Cash Flow Stmt.'!B35))/(1-('Inc. Stmt.'!B16/'Inc. Stmt.'!B15))))</f>
        <v>0.95944722094462809</v>
      </c>
      <c r="D33" s="455">
        <f>('Inc. Stmt.'!C15+((('Bal. Sheet'!B22+'Bal. Sheet'!B23+'Bal. Sheet'!B25)+('Bal. Sheet'!C22+'Bal. Sheet'!C23+'Bal. Sheet'!C25))/2)*'Cost of Debt Calc.'!$C$30+'Cash Flow Stmt.'!C5)/(((('Bal. Sheet'!B22+'Bal. Sheet'!B23+'Bal. Sheet'!B25)+('Bal. Sheet'!C22+'Bal. Sheet'!C23+'Bal. Sheet'!C25))/2)*'Cost of Debt Calc.'!$C$30+((MAX(0,-'Cash Flow Stmt.'!C34)+MAX(0,-'Cash Flow Stmt.'!C35))/(1-('Inc. Stmt.'!C16/'Inc. Stmt.'!C15))))</f>
        <v>0.27808698207454335</v>
      </c>
      <c r="E33" s="455">
        <f>('Inc. Stmt.'!D15+((('Bal. Sheet'!C22+'Bal. Sheet'!C23+'Bal. Sheet'!C25)+('Bal. Sheet'!D22+'Bal. Sheet'!D23+'Bal. Sheet'!D25))/2)*'Cost of Debt Calc.'!$C$30+'Cash Flow Stmt.'!D5)/(((('Bal. Sheet'!C22+'Bal. Sheet'!C23+'Bal. Sheet'!C25)+('Bal. Sheet'!D22+'Bal. Sheet'!D23+'Bal. Sheet'!D25))/2)*'Cost of Debt Calc.'!$C$30+((MAX(0,-'Cash Flow Stmt.'!D34)+MAX(0,-'Cash Flow Stmt.'!D35))/(1-('Inc. Stmt.'!D16/'Inc. Stmt.'!D15))))</f>
        <v>0.30774550284261626</v>
      </c>
      <c r="F33" s="455">
        <f>('Inc. Stmt.'!E15+((('Bal. Sheet'!D22+'Bal. Sheet'!D23+'Bal. Sheet'!D25)+('Bal. Sheet'!E22+'Bal. Sheet'!E23+'Bal. Sheet'!E25))/2)*'Cost of Debt Calc.'!$C$30+'Cash Flow Stmt.'!E5)/(((('Bal. Sheet'!D22+'Bal. Sheet'!D23+'Bal. Sheet'!D25)+('Bal. Sheet'!E22+'Bal. Sheet'!E23+'Bal. Sheet'!E25))/2)*'Cost of Debt Calc.'!$C$30+((MAX(0,-'Cash Flow Stmt.'!E34)+MAX(0,-'Cash Flow Stmt.'!E35))/(1-('Inc. Stmt.'!E16/'Inc. Stmt.'!E15))))</f>
        <v>0.25044419343218749</v>
      </c>
      <c r="G33" s="455">
        <f>('Inc. Stmt.'!F15+((('Bal. Sheet'!E22+'Bal. Sheet'!E23+'Bal. Sheet'!E25)+('Bal. Sheet'!F22+'Bal. Sheet'!F23+'Bal. Sheet'!F25))/2)*'Cost of Debt Calc.'!$C$30+'Cash Flow Stmt.'!F5)/(((('Bal. Sheet'!E22+'Bal. Sheet'!E23+'Bal. Sheet'!E25)+('Bal. Sheet'!F22+'Bal. Sheet'!F23+'Bal. Sheet'!F25))/2)*'Cost of Debt Calc.'!$C$30+((MAX(0,-'Cash Flow Stmt.'!F34)+MAX(0,-'Cash Flow Stmt.'!F35))/(1-('Inc. Stmt.'!F16/'Inc. Stmt.'!F15))))</f>
        <v>0.79249368157009992</v>
      </c>
      <c r="H33" s="455">
        <f>('Inc. Stmt.'!G15+((('Bal. Sheet'!F22+'Bal. Sheet'!F23+'Bal. Sheet'!F25)+('Bal. Sheet'!G22+'Bal. Sheet'!G23+'Bal. Sheet'!G25))/2)*'Cost of Debt Calc.'!$C$30+'Cash Flow Stmt.'!G5)/(((('Bal. Sheet'!F22+'Bal. Sheet'!F23+'Bal. Sheet'!F25)+('Bal. Sheet'!G22+'Bal. Sheet'!G23+'Bal. Sheet'!G25))/2)*'Cost of Debt Calc.'!$C$30+((MAX(0,-'Cash Flow Stmt.'!G34)+MAX(0,-'Cash Flow Stmt.'!G35))/(1-('Inc. Stmt.'!G16/'Inc. Stmt.'!G15))))</f>
        <v>5.8522660086483675</v>
      </c>
      <c r="I33" s="455">
        <f>('Inc. Stmt.'!H15+((('Bal. Sheet'!G22+'Bal. Sheet'!G23+'Bal. Sheet'!G25)+('Bal. Sheet'!H22+'Bal. Sheet'!H23+'Bal. Sheet'!H25))/2)*'Cost of Debt Calc.'!$C$30+'Cash Flow Stmt.'!H5)/(((('Bal. Sheet'!G22+'Bal. Sheet'!G23+'Bal. Sheet'!G25)+('Bal. Sheet'!H22+'Bal. Sheet'!H23+'Bal. Sheet'!H25))/2)*'Cost of Debt Calc.'!$C$30+((MAX(0,-'Cash Flow Stmt.'!H34)+MAX(0,-'Cash Flow Stmt.'!H35))/(1-('Inc. Stmt.'!H16/'Inc. Stmt.'!H15))))</f>
        <v>3.3005733479855808</v>
      </c>
      <c r="J33" s="456">
        <f>('Inc. Stmt.'!I15+((('Bal. Sheet'!H22+'Bal. Sheet'!H23+'Bal. Sheet'!H25)+('Bal. Sheet'!I22+'Bal. Sheet'!I23+'Bal. Sheet'!I25))/2)*'Cost of Debt Calc.'!$C$30+'Cash Flow Stmt.'!I5)/(((('Bal. Sheet'!H22+'Bal. Sheet'!H23+'Bal. Sheet'!H25)+('Bal. Sheet'!I22+'Bal. Sheet'!I23+'Bal. Sheet'!I25))/2)*'Cost of Debt Calc.'!$C$30+((MAX(0,-'Cash Flow Stmt.'!I34)+MAX(0,-'Cash Flow Stmt.'!I35))/(1-('Inc. Stmt.'!I16/'Inc. Stmt.'!I15))))</f>
        <v>6.9701766467039539</v>
      </c>
      <c r="K33" s="457">
        <f>('Inc. Stmt.'!J15+((('Bal. Sheet'!I22+'Bal. Sheet'!I23+'Bal. Sheet'!I25)+('Bal. Sheet'!J22+'Bal. Sheet'!J23+'Bal. Sheet'!J25))/2)*'Cost of Debt Calc.'!$C$30+'Cash Flow Stmt.'!J5)/(((('Bal. Sheet'!I22+'Bal. Sheet'!I23+'Bal. Sheet'!I25)+('Bal. Sheet'!J22+'Bal. Sheet'!J23+'Bal. Sheet'!J25))/2)*'Cost of Debt Calc.'!$C$30+((MAX(0,-'Cash Flow Stmt.'!J34)+MAX(0,-'Cash Flow Stmt.'!J35))/(1-('Inc. Stmt.'!J16/'Inc. Stmt.'!J15))))</f>
        <v>2.250228659069855</v>
      </c>
      <c r="L33" s="457">
        <f>('Inc. Stmt.'!K15+((('Bal. Sheet'!J22+'Bal. Sheet'!J23+'Bal. Sheet'!J25)+('Bal. Sheet'!K22+'Bal. Sheet'!K23+'Bal. Sheet'!K25))/2)*'Cost of Debt Calc.'!$C$30+'Cash Flow Stmt.'!K5)/(((('Bal. Sheet'!J22+'Bal. Sheet'!J23+'Bal. Sheet'!J25)+('Bal. Sheet'!K22+'Bal. Sheet'!K23+'Bal. Sheet'!K25))/2)*'Cost of Debt Calc.'!$C$30+((MAX(0,-'Cash Flow Stmt.'!K34)+MAX(0,-'Cash Flow Stmt.'!K35))/(1-('Inc. Stmt.'!K16/'Inc. Stmt.'!K15))))</f>
        <v>4.6793035083634056</v>
      </c>
      <c r="M33" s="457">
        <f>('Inc. Stmt.'!L15+((('Bal. Sheet'!K22+'Bal. Sheet'!K23+'Bal. Sheet'!K25)+('Bal. Sheet'!L22+'Bal. Sheet'!L23+'Bal. Sheet'!L25))/2)*'Cost of Debt Calc.'!$C$30+'Cash Flow Stmt.'!L5)/(((('Bal. Sheet'!K22+'Bal. Sheet'!K23+'Bal. Sheet'!K25)+('Bal. Sheet'!L22+'Bal. Sheet'!L23+'Bal. Sheet'!L25))/2)*'Cost of Debt Calc.'!$C$30+((MAX(0,-'Cash Flow Stmt.'!L34)+MAX(0,-'Cash Flow Stmt.'!L35))/(1-('Inc. Stmt.'!L16/'Inc. Stmt.'!L15))))</f>
        <v>5.6146092285392308</v>
      </c>
      <c r="N33" s="457">
        <f>('Inc. Stmt.'!M15+((('Bal. Sheet'!L22+'Bal. Sheet'!L23+'Bal. Sheet'!L25)+('Bal. Sheet'!M22+'Bal. Sheet'!M23+'Bal. Sheet'!M25))/2)*'Cost of Debt Calc.'!$C$30+'Cash Flow Stmt.'!M5)/(((('Bal. Sheet'!L22+'Bal. Sheet'!L23+'Bal. Sheet'!L25)+('Bal. Sheet'!M22+'Bal. Sheet'!M23+'Bal. Sheet'!M25))/2)*'Cost of Debt Calc.'!$C$30+((MAX(0,-'Cash Flow Stmt.'!M34)+MAX(0,-'Cash Flow Stmt.'!M35))/(1-('Inc. Stmt.'!M16/'Inc. Stmt.'!M15))))</f>
        <v>4.3450927884750463</v>
      </c>
      <c r="O33" s="457">
        <f>('Inc. Stmt.'!N15+((('Bal. Sheet'!M22+'Bal. Sheet'!M23+'Bal. Sheet'!M25)+('Bal. Sheet'!N22+'Bal. Sheet'!N23+'Bal. Sheet'!N25))/2)*'Cost of Debt Calc.'!$C$30+'Cash Flow Stmt.'!N5)/(((('Bal. Sheet'!M22+'Bal. Sheet'!M23+'Bal. Sheet'!M25)+('Bal. Sheet'!N22+'Bal. Sheet'!N23+'Bal. Sheet'!N25))/2)*'Cost of Debt Calc.'!$C$30+((MAX(0,-'Cash Flow Stmt.'!N34)+MAX(0,-'Cash Flow Stmt.'!N35))/(1-('Inc. Stmt.'!N16/'Inc. Stmt.'!N15))))</f>
        <v>4.7909445917224458</v>
      </c>
      <c r="P33" s="457">
        <f>('Inc. Stmt.'!O15+((('Bal. Sheet'!N22+'Bal. Sheet'!N23+'Bal. Sheet'!N25)+('Bal. Sheet'!O22+'Bal. Sheet'!O23+'Bal. Sheet'!O25))/2)*'Cost of Debt Calc.'!$C$30+'Cash Flow Stmt.'!O5)/(((('Bal. Sheet'!N22+'Bal. Sheet'!N23+'Bal. Sheet'!N25)+('Bal. Sheet'!O22+'Bal. Sheet'!O23+'Bal. Sheet'!O25))/2)*'Cost of Debt Calc.'!$C$30+((MAX(0,-'Cash Flow Stmt.'!O34)+MAX(0,-'Cash Flow Stmt.'!O35))/(1-('Inc. Stmt.'!O16/'Inc. Stmt.'!O15))))</f>
        <v>170.23150086219206</v>
      </c>
    </row>
    <row r="34" spans="1:16" ht="16.05" customHeight="1">
      <c r="A34" s="435" t="s">
        <v>179</v>
      </c>
      <c r="B34" s="436" t="s">
        <v>464</v>
      </c>
      <c r="C34" s="455">
        <f>'Bal. Sheet'!B4/((MAX(0,-'Cash Flow Stmt.'!B34)+MAX(0,-'Cash Flow Stmt.'!B35))+('Bal. Sheet'!B22+'Bal. Sheet'!B23+'Bal. Sheet'!B25)*'Cost of Debt Calc.'!$C$30)</f>
        <v>0.5259676799298505</v>
      </c>
      <c r="D34" s="455">
        <f>'Bal. Sheet'!C4/((MAX(0,-'Cash Flow Stmt.'!C34)+MAX(0,-'Cash Flow Stmt.'!C35))+((('Bal. Sheet'!B22+'Bal. Sheet'!B23+'Bal. Sheet'!B25)+('Bal. Sheet'!C22+'Bal. Sheet'!C23+'Bal. Sheet'!C25))/2)*'Cost of Debt Calc.'!$C$30)</f>
        <v>0.13943508396196486</v>
      </c>
      <c r="E34" s="455">
        <f>'Bal. Sheet'!D4/((MAX(0,-'Cash Flow Stmt.'!D34)+MAX(0,-'Cash Flow Stmt.'!D35))+((('Bal. Sheet'!C22+'Bal. Sheet'!C23+'Bal. Sheet'!C25)+('Bal. Sheet'!D22+'Bal. Sheet'!D23+'Bal. Sheet'!D25))/2)*'Cost of Debt Calc.'!$C$30)</f>
        <v>7.9473008657276425E-2</v>
      </c>
      <c r="F34" s="455">
        <f>'Bal. Sheet'!E4/((MAX(0,-'Cash Flow Stmt.'!E34)+MAX(0,-'Cash Flow Stmt.'!E35))+((('Bal. Sheet'!D22+'Bal. Sheet'!D23+'Bal. Sheet'!D25)+('Bal. Sheet'!E22+'Bal. Sheet'!E23+'Bal. Sheet'!E25))/2)*'Cost of Debt Calc.'!$C$30)</f>
        <v>0.10767827291073967</v>
      </c>
      <c r="G34" s="455">
        <f>'Bal. Sheet'!F4/((MAX(0,-'Cash Flow Stmt.'!F34)+MAX(0,-'Cash Flow Stmt.'!F35))+((('Bal. Sheet'!E22+'Bal. Sheet'!E23+'Bal. Sheet'!E25)+('Bal. Sheet'!F22+'Bal. Sheet'!F23+'Bal. Sheet'!F25))/2)*'Cost of Debt Calc.'!$C$30)</f>
        <v>0.22287013357856855</v>
      </c>
      <c r="H34" s="455">
        <f>'Bal. Sheet'!G4/((MAX(0,-'Cash Flow Stmt.'!G34)+MAX(0,-'Cash Flow Stmt.'!G35))+((('Bal. Sheet'!F22+'Bal. Sheet'!F23+'Bal. Sheet'!F25)+('Bal. Sheet'!G22+'Bal. Sheet'!G23+'Bal. Sheet'!G25))/2)*'Cost of Debt Calc.'!$C$30)</f>
        <v>3.3956262947165965</v>
      </c>
      <c r="I34" s="455">
        <f>'Bal. Sheet'!H4/((MAX(0,-'Cash Flow Stmt.'!H34)+MAX(0,-'Cash Flow Stmt.'!H35))+((('Bal. Sheet'!G22+'Bal. Sheet'!G23+'Bal. Sheet'!G25)+('Bal. Sheet'!H22+'Bal. Sheet'!H23+'Bal. Sheet'!H25))/2)*'Cost of Debt Calc.'!$C$30)</f>
        <v>1.1872571077795631</v>
      </c>
      <c r="J34" s="456">
        <f>'Bal. Sheet'!I4/((MAX(0,-'Cash Flow Stmt.'!I34)+MAX(0,-'Cash Flow Stmt.'!I35))+((('Bal. Sheet'!H22+'Bal. Sheet'!H23+'Bal. Sheet'!H25)+('Bal. Sheet'!I22+'Bal. Sheet'!I23+'Bal. Sheet'!I25))/2)*'Cost of Debt Calc.'!$C$30)</f>
        <v>4.4746552531924486</v>
      </c>
      <c r="K34" s="457">
        <f>'Bal. Sheet'!J4/((MAX(0,-'Cash Flow Stmt.'!J34)+MAX(0,-'Cash Flow Stmt.'!J35))+((('Bal. Sheet'!I22+'Bal. Sheet'!I23+'Bal. Sheet'!I25)+('Bal. Sheet'!J22+'Bal. Sheet'!J23+'Bal. Sheet'!J25))/2)*'Cost of Debt Calc.'!$C$30)</f>
        <v>1.7989065802105668</v>
      </c>
      <c r="L34" s="457">
        <f>'Bal. Sheet'!K4/((MAX(0,-'Cash Flow Stmt.'!K34)+MAX(0,-'Cash Flow Stmt.'!K35))+((('Bal. Sheet'!J22+'Bal. Sheet'!J23+'Bal. Sheet'!J25)+('Bal. Sheet'!K22+'Bal. Sheet'!K23+'Bal. Sheet'!K25))/2)*'Cost of Debt Calc.'!$C$30)</f>
        <v>2.6519683597482722</v>
      </c>
      <c r="M34" s="457">
        <f>'Bal. Sheet'!L4/((MAX(0,-'Cash Flow Stmt.'!L34)+MAX(0,-'Cash Flow Stmt.'!L35))+((('Bal. Sheet'!K22+'Bal. Sheet'!K23+'Bal. Sheet'!K25)+('Bal. Sheet'!L22+'Bal. Sheet'!L23+'Bal. Sheet'!L25))/2)*'Cost of Debt Calc.'!$C$30)</f>
        <v>2.1836559634307688</v>
      </c>
      <c r="N34" s="457">
        <f>'Bal. Sheet'!M4/((MAX(0,-'Cash Flow Stmt.'!M34)+MAX(0,-'Cash Flow Stmt.'!M35))+((('Bal. Sheet'!L22+'Bal. Sheet'!L23+'Bal. Sheet'!L25)+('Bal. Sheet'!M22+'Bal. Sheet'!M23+'Bal. Sheet'!M25))/2)*'Cost of Debt Calc.'!$C$30)</f>
        <v>1.8481485346978062</v>
      </c>
      <c r="O34" s="457">
        <f>'Bal. Sheet'!N4/((MAX(0,-'Cash Flow Stmt.'!N34)+MAX(0,-'Cash Flow Stmt.'!N35))+((('Bal. Sheet'!M22+'Bal. Sheet'!M23+'Bal. Sheet'!M25)+('Bal. Sheet'!N22+'Bal. Sheet'!N23+'Bal. Sheet'!N25))/2)*'Cost of Debt Calc.'!$C$30)</f>
        <v>1.5252741645611489</v>
      </c>
      <c r="P34" s="457">
        <f>'Bal. Sheet'!O4/((MAX(0,-'Cash Flow Stmt.'!O34)+MAX(0,-'Cash Flow Stmt.'!O35))+((('Bal. Sheet'!N22+'Bal. Sheet'!N23+'Bal. Sheet'!N25)+('Bal. Sheet'!O22+'Bal. Sheet'!O23+'Bal. Sheet'!O25))/2)*'Cost of Debt Calc.'!$C$30)</f>
        <v>75.055927744299964</v>
      </c>
    </row>
    <row r="35" spans="1:16" ht="16.05" customHeight="1">
      <c r="A35" s="435" t="s">
        <v>180</v>
      </c>
      <c r="B35" s="436" t="s">
        <v>465</v>
      </c>
      <c r="C35" s="449">
        <f>(('Bal. Sheet'!B22+'Bal. Sheet'!B23+'Bal. Sheet'!B25)*'Cost of Debt Calc.'!$C$30+'Cash Flow Stmt.'!B5)/('Inc. Stmt.'!B8+'Inc. Stmt.'!B10)*100</f>
        <v>2.24122047602682</v>
      </c>
      <c r="D35" s="449">
        <f>(((('Bal. Sheet'!B22+'Bal. Sheet'!B23+'Bal. Sheet'!B25)+('Bal. Sheet'!C22+'Bal. Sheet'!C23+'Bal. Sheet'!C25))/2)*'Cost of Debt Calc.'!$C$30+'Cash Flow Stmt.'!C5)/('Inc. Stmt.'!C8+'Inc. Stmt.'!C10)*100</f>
        <v>1.8507284517010472</v>
      </c>
      <c r="E35" s="449">
        <f>(((('Bal. Sheet'!C22+'Bal. Sheet'!C23+'Bal. Sheet'!C25)+('Bal. Sheet'!D22+'Bal. Sheet'!D23+'Bal. Sheet'!D25))/2)*'Cost of Debt Calc.'!$C$30+'Cash Flow Stmt.'!D5)/('Inc. Stmt.'!D8+'Inc. Stmt.'!D10)*100</f>
        <v>1.6860681862490048</v>
      </c>
      <c r="F35" s="449">
        <f>(((('Bal. Sheet'!D22+'Bal. Sheet'!D23+'Bal. Sheet'!D25)+('Bal. Sheet'!E22+'Bal. Sheet'!E23+'Bal. Sheet'!E25))/2)*'Cost of Debt Calc.'!$C$30+'Cash Flow Stmt.'!E5)/('Inc. Stmt.'!E8+'Inc. Stmt.'!E10)*100</f>
        <v>1.3422798548721337</v>
      </c>
      <c r="G35" s="449">
        <f>(((('Bal. Sheet'!E22+'Bal. Sheet'!E23+'Bal. Sheet'!E25)+('Bal. Sheet'!F22+'Bal. Sheet'!F23+'Bal. Sheet'!F25))/2)*'Cost of Debt Calc.'!$C$30+'Cash Flow Stmt.'!F5)/('Inc. Stmt.'!F8+'Inc. Stmt.'!F10)*100</f>
        <v>1.3485155971706335</v>
      </c>
      <c r="H35" s="449">
        <f>(((('Bal. Sheet'!F22+'Bal. Sheet'!F23+'Bal. Sheet'!F25)+('Bal. Sheet'!G22+'Bal. Sheet'!G23+'Bal. Sheet'!G25))/2)*'Cost of Debt Calc.'!$C$30+'Cash Flow Stmt.'!G5)/('Inc. Stmt.'!G8+'Inc. Stmt.'!G10)*100</f>
        <v>1.4260036992382945</v>
      </c>
      <c r="I35" s="449">
        <f>(((('Bal. Sheet'!G22+'Bal. Sheet'!G23+'Bal. Sheet'!G25)+('Bal. Sheet'!H22+'Bal. Sheet'!H23+'Bal. Sheet'!H25))/2)*'Cost of Debt Calc.'!$C$30+'Cash Flow Stmt.'!H5)/('Inc. Stmt.'!H8+'Inc. Stmt.'!H10)*100</f>
        <v>1.287762582338785</v>
      </c>
      <c r="J35" s="450">
        <f>(((('Bal. Sheet'!H22+'Bal. Sheet'!H23+'Bal. Sheet'!H25)+('Bal. Sheet'!I22+'Bal. Sheet'!I23+'Bal. Sheet'!I25))/2)*'Cost of Debt Calc.'!$C$30+'Cash Flow Stmt.'!I5)/('Inc. Stmt.'!I8+'Inc. Stmt.'!I10)*100</f>
        <v>1.2438024209888401</v>
      </c>
      <c r="K35" s="451">
        <f>(((('Bal. Sheet'!I22+'Bal. Sheet'!I23+'Bal. Sheet'!I25)+('Bal. Sheet'!J22+'Bal. Sheet'!J23+'Bal. Sheet'!J25))/2)*'Cost of Debt Calc.'!$C$30+'Cash Flow Stmt.'!J5)/('Inc. Stmt.'!J8+'Inc. Stmt.'!J10)*100</f>
        <v>1.1677574201964169</v>
      </c>
      <c r="L35" s="451">
        <f>(((('Bal. Sheet'!J22+'Bal. Sheet'!J23+'Bal. Sheet'!J25)+('Bal. Sheet'!K22+'Bal. Sheet'!K23+'Bal. Sheet'!K25))/2)*'Cost of Debt Calc.'!$C$30+'Cash Flow Stmt.'!K5)/('Inc. Stmt.'!K8+'Inc. Stmt.'!K10)*100</f>
        <v>0.95766950870448031</v>
      </c>
      <c r="M35" s="451">
        <f>(((('Bal. Sheet'!K22+'Bal. Sheet'!K23+'Bal. Sheet'!K25)+('Bal. Sheet'!L22+'Bal. Sheet'!L23+'Bal. Sheet'!L25))/2)*'Cost of Debt Calc.'!$C$30+'Cash Flow Stmt.'!L5)/('Inc. Stmt.'!L8+'Inc. Stmt.'!L10)*100</f>
        <v>0.72946210125915656</v>
      </c>
      <c r="N35" s="451">
        <f>(((('Bal. Sheet'!L22+'Bal. Sheet'!L23+'Bal. Sheet'!L25)+('Bal. Sheet'!M22+'Bal. Sheet'!M23+'Bal. Sheet'!M25))/2)*'Cost of Debt Calc.'!$C$30+'Cash Flow Stmt.'!M5)/('Inc. Stmt.'!M8+'Inc. Stmt.'!M10)*100</f>
        <v>0.48475054423831521</v>
      </c>
      <c r="O35" s="451">
        <f>(((('Bal. Sheet'!M22+'Bal. Sheet'!M23+'Bal. Sheet'!M25)+('Bal. Sheet'!N22+'Bal. Sheet'!N23+'Bal. Sheet'!N25))/2)*'Cost of Debt Calc.'!$C$30+'Cash Flow Stmt.'!N5)/('Inc. Stmt.'!N8+'Inc. Stmt.'!N10)*100</f>
        <v>0.36870163997357536</v>
      </c>
      <c r="P35" s="451">
        <f>(((('Bal. Sheet'!N22+'Bal. Sheet'!N23+'Bal. Sheet'!N25)+('Bal. Sheet'!O22+'Bal. Sheet'!O23+'Bal. Sheet'!O25))/2)*'Cost of Debt Calc.'!$C$30+'Cash Flow Stmt.'!O5)/('Inc. Stmt.'!O8+'Inc. Stmt.'!O10)*100</f>
        <v>0.36692086795733064</v>
      </c>
    </row>
    <row r="36" spans="1:16" ht="16.05" customHeight="1">
      <c r="A36" s="442" t="s">
        <v>443</v>
      </c>
      <c r="B36" s="442"/>
      <c r="C36" s="443"/>
      <c r="D36" s="443"/>
      <c r="E36" s="443"/>
      <c r="F36" s="443"/>
      <c r="G36" s="443"/>
      <c r="H36" s="443"/>
      <c r="I36" s="443"/>
      <c r="J36" s="445"/>
      <c r="K36" s="443"/>
      <c r="L36" s="443"/>
      <c r="M36" s="443"/>
      <c r="N36" s="443"/>
      <c r="O36" s="443"/>
      <c r="P36" s="443"/>
    </row>
    <row r="37" spans="1:16" ht="16.05" customHeight="1">
      <c r="A37" s="435" t="s">
        <v>181</v>
      </c>
      <c r="B37" s="436" t="s">
        <v>182</v>
      </c>
      <c r="C37" s="455">
        <f>'Inc. Stmt.'!B5/'Bal. Sheet'!B16</f>
        <v>0.79544173279967756</v>
      </c>
      <c r="D37" s="455">
        <f>'Inc. Stmt.'!C5/'Bal. Sheet'!C16</f>
        <v>0.90419730017737643</v>
      </c>
      <c r="E37" s="455">
        <f>'Inc. Stmt.'!D5/'Bal. Sheet'!D16</f>
        <v>0.98702933820904548</v>
      </c>
      <c r="F37" s="455">
        <f>'Inc. Stmt.'!E5/'Bal. Sheet'!E16</f>
        <v>0.98664361715969218</v>
      </c>
      <c r="G37" s="455">
        <f>'Inc. Stmt.'!F5/'Bal. Sheet'!F16</f>
        <v>1.0616775635314901</v>
      </c>
      <c r="H37" s="455">
        <f>'Inc. Stmt.'!G5/'Bal. Sheet'!G16</f>
        <v>0.93424432635145926</v>
      </c>
      <c r="I37" s="455">
        <f>'Inc. Stmt.'!H5/'Bal. Sheet'!H16</f>
        <v>0.93286604319833744</v>
      </c>
      <c r="J37" s="456">
        <f>'Inc. Stmt.'!I5/'Bal. Sheet'!I16</f>
        <v>0.83402299851608674</v>
      </c>
      <c r="K37" s="457">
        <f>'Inc. Stmt.'!J5/'Bal. Sheet'!J16</f>
        <v>0.81842780211960275</v>
      </c>
      <c r="L37" s="457">
        <f>'Inc. Stmt.'!K5/'Bal. Sheet'!K16</f>
        <v>0.80499632858539849</v>
      </c>
      <c r="M37" s="457">
        <f>'Inc. Stmt.'!L5/'Bal. Sheet'!L16</f>
        <v>0.81717363252485775</v>
      </c>
      <c r="N37" s="457">
        <f>'Inc. Stmt.'!M5/'Bal. Sheet'!M16</f>
        <v>0.84693787200140191</v>
      </c>
      <c r="O37" s="457">
        <f>'Inc. Stmt.'!N5/'Bal. Sheet'!N16</f>
        <v>0.86598255338280583</v>
      </c>
      <c r="P37" s="457">
        <f>'Inc. Stmt.'!O5/'Bal. Sheet'!O16</f>
        <v>0.85865775535993516</v>
      </c>
    </row>
    <row r="38" spans="1:16" ht="16.05" customHeight="1">
      <c r="A38" s="435" t="s">
        <v>183</v>
      </c>
      <c r="B38" s="436" t="s">
        <v>466</v>
      </c>
      <c r="C38" s="455">
        <f>'Inc. Stmt.'!B5/'Bal. Sheet'!B11</f>
        <v>132.97377398720681</v>
      </c>
      <c r="D38" s="455">
        <f>'Inc. Stmt.'!C5/'Bal. Sheet'!C11</f>
        <v>183.72244140171733</v>
      </c>
      <c r="E38" s="455">
        <f>'Inc. Stmt.'!D5/'Bal. Sheet'!D11</f>
        <v>271.49401947148817</v>
      </c>
      <c r="F38" s="455">
        <f>'Inc. Stmt.'!E5/'Bal. Sheet'!E11</f>
        <v>498.88904694167854</v>
      </c>
      <c r="G38" s="455">
        <f>'Inc. Stmt.'!F5/'Bal. Sheet'!F11</f>
        <v>602.19013360739984</v>
      </c>
      <c r="H38" s="455">
        <f>'Inc. Stmt.'!G5/'Bal. Sheet'!G11</f>
        <v>252.01445988091862</v>
      </c>
      <c r="I38" s="455">
        <f>'Inc. Stmt.'!H5/'Bal. Sheet'!H11</f>
        <v>320.40039688597159</v>
      </c>
      <c r="J38" s="456">
        <f>'Inc. Stmt.'!I5/'Bal. Sheet'!I11</f>
        <v>264.63817967179142</v>
      </c>
      <c r="K38" s="457">
        <f>'Inc. Stmt.'!J5/'Bal. Sheet'!J11</f>
        <v>227.0222850775952</v>
      </c>
      <c r="L38" s="457">
        <f>'Inc. Stmt.'!K5/'Bal. Sheet'!K11</f>
        <v>201.04782338858487</v>
      </c>
      <c r="M38" s="457">
        <f>'Inc. Stmt.'!L5/'Bal. Sheet'!L11</f>
        <v>190.32610028900342</v>
      </c>
      <c r="N38" s="457">
        <f>'Inc. Stmt.'!M5/'Bal. Sheet'!M11</f>
        <v>180.41851980853212</v>
      </c>
      <c r="O38" s="457">
        <f>'Inc. Stmt.'!N5/'Bal. Sheet'!N11</f>
        <v>170.46368077426467</v>
      </c>
      <c r="P38" s="457">
        <f>'Inc. Stmt.'!O5/'Bal. Sheet'!O11</f>
        <v>162.57250025821193</v>
      </c>
    </row>
    <row r="39" spans="1:16" ht="16.05" customHeight="1">
      <c r="A39" s="435" t="s">
        <v>184</v>
      </c>
      <c r="B39" s="436" t="s">
        <v>185</v>
      </c>
      <c r="C39" s="455">
        <f>'Inc. Stmt.'!B5/'Bal. Sheet'!B8</f>
        <v>0.85156844190831993</v>
      </c>
      <c r="D39" s="455">
        <f>'Inc. Stmt.'!C5/'Bal. Sheet'!C8</f>
        <v>0.97656471656358168</v>
      </c>
      <c r="E39" s="455">
        <f>'Inc. Stmt.'!D5/'Bal. Sheet'!D8</f>
        <v>1.0775998745771396</v>
      </c>
      <c r="F39" s="455">
        <f>'Inc. Stmt.'!E5/'Bal. Sheet'!E8</f>
        <v>1.0546544216705158</v>
      </c>
      <c r="G39" s="455">
        <f>'Inc. Stmt.'!F5/'Bal. Sheet'!F8</f>
        <v>1.1376211210835467</v>
      </c>
      <c r="H39" s="455">
        <f>'Inc. Stmt.'!G5/'Bal. Sheet'!G8</f>
        <v>1.0101009527067224</v>
      </c>
      <c r="I39" s="455">
        <f>'Inc. Stmt.'!H5/'Bal. Sheet'!H8</f>
        <v>0.9877773934486791</v>
      </c>
      <c r="J39" s="456">
        <f>'Inc. Stmt.'!I5/'Bal. Sheet'!I8</f>
        <v>0.87501427990926861</v>
      </c>
      <c r="K39" s="457">
        <f>'Inc. Stmt.'!J5/'Bal. Sheet'!J8</f>
        <v>0.85993795948677476</v>
      </c>
      <c r="L39" s="457">
        <f>'Inc. Stmt.'!K5/'Bal. Sheet'!K8</f>
        <v>0.84670294742510599</v>
      </c>
      <c r="M39" s="457">
        <f>'Inc. Stmt.'!L5/'Bal. Sheet'!L8</f>
        <v>0.85973071454352856</v>
      </c>
      <c r="N39" s="457">
        <f>'Inc. Stmt.'!M5/'Bal. Sheet'!M8</f>
        <v>0.89237766250694428</v>
      </c>
      <c r="O39" s="457">
        <f>'Inc. Stmt.'!N5/'Bal. Sheet'!N8</f>
        <v>0.91347326036621679</v>
      </c>
      <c r="P39" s="457">
        <f>'Inc. Stmt.'!O5/'Bal. Sheet'!O8</f>
        <v>0.90503244092006963</v>
      </c>
    </row>
    <row r="40" spans="1:16" ht="16.05" customHeight="1">
      <c r="A40" s="435" t="s">
        <v>186</v>
      </c>
      <c r="B40" s="436" t="s">
        <v>467</v>
      </c>
      <c r="C40" s="455">
        <f>'Inc. Stmt.'!B8/'Bal. Sheet'!B6</f>
        <v>0.73743760847044892</v>
      </c>
      <c r="D40" s="455">
        <f>'Inc. Stmt.'!C8/'Bal. Sheet'!C6</f>
        <v>0.8261747130646645</v>
      </c>
      <c r="E40" s="455">
        <f>'Inc. Stmt.'!D8/'Bal. Sheet'!D6</f>
        <v>0.87779573425207336</v>
      </c>
      <c r="F40" s="455">
        <f>'Inc. Stmt.'!E8/'Bal. Sheet'!E6</f>
        <v>0.86465051094793488</v>
      </c>
      <c r="G40" s="455">
        <f>'Inc. Stmt.'!F8/'Bal. Sheet'!F6</f>
        <v>0.86791688925127219</v>
      </c>
      <c r="H40" s="455">
        <f>'Inc. Stmt.'!G8/'Bal. Sheet'!G6</f>
        <v>0.80192379060319341</v>
      </c>
      <c r="I40" s="455">
        <f>'Inc. Stmt.'!H8/'Bal. Sheet'!H6</f>
        <v>0.72013157650283943</v>
      </c>
      <c r="J40" s="456">
        <f>'Inc. Stmt.'!I8/'Bal. Sheet'!I6</f>
        <v>0.6740425977770006</v>
      </c>
      <c r="K40" s="462">
        <v>0.69</v>
      </c>
      <c r="L40" s="462">
        <v>0.66</v>
      </c>
      <c r="M40" s="462">
        <v>0.66</v>
      </c>
      <c r="N40" s="462">
        <v>0.69499999999999995</v>
      </c>
      <c r="O40" s="462">
        <v>0.7</v>
      </c>
      <c r="P40" s="462">
        <v>0.72</v>
      </c>
    </row>
    <row r="41" spans="1:16" ht="16.05" customHeight="1">
      <c r="A41" s="435" t="s">
        <v>395</v>
      </c>
      <c r="B41" s="436" t="s">
        <v>396</v>
      </c>
      <c r="C41" s="440">
        <f>'Inc. Stmt.'!B18/'Inc. Stmt.'!B17</f>
        <v>0.20007747733787867</v>
      </c>
      <c r="D41" s="440">
        <f>'Inc. Stmt.'!C18/'Inc. Stmt.'!C17</f>
        <v>8.7804422879537186E-2</v>
      </c>
      <c r="E41" s="440">
        <f>'Inc. Stmt.'!D18/'Inc. Stmt.'!D17</f>
        <v>3.4839596933707986E-2</v>
      </c>
      <c r="F41" s="440">
        <f>'Inc. Stmt.'!E18/'Inc. Stmt.'!E17</f>
        <v>6.9336190741800849E-2</v>
      </c>
      <c r="G41" s="440">
        <f>'Inc. Stmt.'!F18/'Inc. Stmt.'!F17</f>
        <v>7.0373283821183005E-2</v>
      </c>
      <c r="H41" s="440">
        <f>'Inc. Stmt.'!G18/'Inc. Stmt.'!G17</f>
        <v>7.1896959321757561E-2</v>
      </c>
      <c r="I41" s="440">
        <f>'Inc. Stmt.'!H18/'Inc. Stmt.'!H17</f>
        <v>8.5272860207836421E-2</v>
      </c>
      <c r="J41" s="446">
        <f>'Inc. Stmt.'!I18/'Inc. Stmt.'!I17</f>
        <v>8.2498805474768247E-2</v>
      </c>
      <c r="K41" s="441">
        <f>'Inc. Stmt.'!J18/'Inc. Stmt.'!J17</f>
        <v>8.4329699853456161E-2</v>
      </c>
      <c r="L41" s="441">
        <f>'Inc. Stmt.'!K18/'Inc. Stmt.'!K17</f>
        <v>8.7237620538058266E-2</v>
      </c>
      <c r="M41" s="441">
        <f>'Inc. Stmt.'!L18/'Inc. Stmt.'!L17</f>
        <v>9.0353249842988648E-2</v>
      </c>
      <c r="N41" s="441">
        <f>'Inc. Stmt.'!M18/'Inc. Stmt.'!M17</f>
        <v>9.2833218963129127E-2</v>
      </c>
      <c r="O41" s="441">
        <f>'Inc. Stmt.'!N18/'Inc. Stmt.'!N17</f>
        <v>9.2833218963129141E-2</v>
      </c>
      <c r="P41" s="441">
        <f>'Inc. Stmt.'!O18/'Inc. Stmt.'!O17</f>
        <v>9.2833218963129127E-2</v>
      </c>
    </row>
    <row r="42" spans="1:16" ht="16.05" customHeight="1">
      <c r="A42" s="442" t="s">
        <v>444</v>
      </c>
      <c r="B42" s="442"/>
      <c r="C42" s="443"/>
      <c r="D42" s="443"/>
      <c r="E42" s="443"/>
      <c r="F42" s="443"/>
      <c r="G42" s="443"/>
      <c r="H42" s="443"/>
      <c r="I42" s="443"/>
      <c r="J42" s="445"/>
      <c r="K42" s="443"/>
      <c r="L42" s="443"/>
      <c r="M42" s="443"/>
      <c r="N42" s="443"/>
      <c r="O42" s="443"/>
      <c r="P42" s="443"/>
    </row>
    <row r="43" spans="1:16" ht="16.05" customHeight="1">
      <c r="A43" s="435" t="s">
        <v>187</v>
      </c>
      <c r="B43" s="436" t="s">
        <v>468</v>
      </c>
      <c r="C43" s="449">
        <f>(-'Cash Flow Stmt.'!B27/('Bal. Sheet'!B11+SUM('Cash Flow Stmt.'!$B$5:B$5)))*100</f>
        <v>42.067339185117255</v>
      </c>
      <c r="D43" s="449">
        <f>(-'Cash Flow Stmt.'!C27/('Bal. Sheet'!C11+SUM('Cash Flow Stmt.'!$B$5:C$5)))*100</f>
        <v>24.866905430258445</v>
      </c>
      <c r="E43" s="449">
        <f>(-'Cash Flow Stmt.'!D27/('Bal. Sheet'!D11+SUM('Cash Flow Stmt.'!$B$5:D$5)))*100</f>
        <v>21.855002634946924</v>
      </c>
      <c r="F43" s="449">
        <f>(-'Cash Flow Stmt.'!E27/('Bal. Sheet'!E11+SUM('Cash Flow Stmt.'!$B$5:E$5)))*100</f>
        <v>13.283914982944109</v>
      </c>
      <c r="G43" s="449">
        <f>(-'Cash Flow Stmt.'!F27/('Bal. Sheet'!F11+SUM('Cash Flow Stmt.'!$B$5:F$5)))*100</f>
        <v>11.355683485720736</v>
      </c>
      <c r="H43" s="449">
        <f>(-'Cash Flow Stmt.'!G27/('Bal. Sheet'!G11+SUM('Cash Flow Stmt.'!$B$5:G$5)))*100</f>
        <v>30.718954248366014</v>
      </c>
      <c r="I43" s="449">
        <f>(-'Cash Flow Stmt.'!H27/('Bal. Sheet'!H11+SUM('Cash Flow Stmt.'!$B$5:H$5)))*100</f>
        <v>14.660441996372676</v>
      </c>
      <c r="J43" s="450">
        <f>(-'Cash Flow Stmt.'!I27/('Bal. Sheet'!I11+SUM('Cash Flow Stmt.'!$B$5:I$5)))*100</f>
        <v>15.140366104981705</v>
      </c>
      <c r="K43" s="451">
        <f>(-'Cash Flow Stmt.'!J27/('Bal. Sheet'!J11+SUM('Cash Flow Stmt.'!$B$5:J$5)))*100</f>
        <v>13.21985813267233</v>
      </c>
      <c r="L43" s="451">
        <f>(-'Cash Flow Stmt.'!K27/('Bal. Sheet'!K11+SUM('Cash Flow Stmt.'!$B$5:K$5)))*100</f>
        <v>11.867069232700215</v>
      </c>
      <c r="M43" s="451">
        <f>(-'Cash Flow Stmt.'!L27/('Bal. Sheet'!L11+SUM('Cash Flow Stmt.'!$B$5:L$5)))*100</f>
        <v>11.361812264746883</v>
      </c>
      <c r="N43" s="451">
        <f>(-'Cash Flow Stmt.'!M27/('Bal. Sheet'!M11+SUM('Cash Flow Stmt.'!$B$5:M$5)))*100</f>
        <v>10.872969283629001</v>
      </c>
      <c r="O43" s="451">
        <f>(-'Cash Flow Stmt.'!N27/('Bal. Sheet'!N11+SUM('Cash Flow Stmt.'!$B$5:N$5)))*100</f>
        <v>10.35532814780689</v>
      </c>
      <c r="P43" s="451">
        <f>(-'Cash Flow Stmt.'!O27/('Bal. Sheet'!O11+SUM('Cash Flow Stmt.'!$B$5:O$5)))*100</f>
        <v>9.9435103611869238</v>
      </c>
    </row>
    <row r="44" spans="1:16" ht="16.05" customHeight="1">
      <c r="A44" s="435" t="s">
        <v>188</v>
      </c>
      <c r="B44" s="436" t="s">
        <v>469</v>
      </c>
      <c r="C44" s="449">
        <f>('Bal. Sheet'!B9/SUM('Cash Flow Stmt.'!$B$5:B$5))*100</f>
        <v>688.71899422358138</v>
      </c>
      <c r="D44" s="449">
        <f>('Bal. Sheet'!C9/SUM('Cash Flow Stmt.'!$B$5:C$5))*100</f>
        <v>503.05546330122883</v>
      </c>
      <c r="E44" s="449">
        <f>('Bal. Sheet'!D9/SUM('Cash Flow Stmt.'!$B$5:D$5))*100</f>
        <v>479.38687035507843</v>
      </c>
      <c r="F44" s="449">
        <f>('Bal. Sheet'!E9/SUM('Cash Flow Stmt.'!$B$5:E$5))*100</f>
        <v>447.36164736164739</v>
      </c>
      <c r="G44" s="449">
        <f>('Bal. Sheet'!F9/SUM('Cash Flow Stmt.'!$B$5:F$5))*100</f>
        <v>501.54740185147642</v>
      </c>
      <c r="H44" s="449">
        <f>('Bal. Sheet'!G9/SUM('Cash Flow Stmt.'!$B$5:G$5))*100</f>
        <v>461.48059310946354</v>
      </c>
      <c r="I44" s="449">
        <f>('Bal. Sheet'!H9/SUM('Cash Flow Stmt.'!$B$5:H$5))*100</f>
        <v>260.8706885415321</v>
      </c>
      <c r="J44" s="450">
        <f>('Bal. Sheet'!I9/SUM('Cash Flow Stmt.'!$B$5:I$5))*100</f>
        <v>239.18125267443799</v>
      </c>
      <c r="K44" s="451">
        <f>('Bal. Sheet'!J9/SUM('Cash Flow Stmt.'!$B$5:J$5))*100</f>
        <v>224.69411220987047</v>
      </c>
      <c r="L44" s="451">
        <f>('Bal. Sheet'!K9/SUM('Cash Flow Stmt.'!$B$5:K$5))*100</f>
        <v>213.04015652018441</v>
      </c>
      <c r="M44" s="451">
        <f>('Bal. Sheet'!L9/SUM('Cash Flow Stmt.'!$B$5:L$5))*100</f>
        <v>202.11978351380796</v>
      </c>
      <c r="N44" s="451">
        <f>('Bal. Sheet'!M9/SUM('Cash Flow Stmt.'!$B$5:M$5))*100</f>
        <v>191.96485752226701</v>
      </c>
      <c r="O44" s="451">
        <f>('Bal. Sheet'!N9/SUM('Cash Flow Stmt.'!$B$5:N$5))*100</f>
        <v>182.66469210503521</v>
      </c>
      <c r="P44" s="451">
        <f>('Bal. Sheet'!O9/SUM('Cash Flow Stmt.'!$B$5:O$5))*100</f>
        <v>174.01500454247767</v>
      </c>
    </row>
    <row r="45" spans="1:16" ht="16.05" customHeight="1">
      <c r="A45" s="435" t="s">
        <v>189</v>
      </c>
      <c r="B45" s="436" t="s">
        <v>470</v>
      </c>
      <c r="C45" s="455" cm="1">
        <f t="array" aca="1" ref="C45" ca="1">(IF(VALUE(LEFT(C$2,4))&lt;=YEAR('Stock Returns'!$B$2),LOOKUP(2,1/(YEAR('Stock Returns'!$A$7:$A$105)=VALUE(LEFT(C$2,4))),'Stock Returns'!$B$7:$B$105),'Valuation Summary'!$G$4))*'Inc. Stmt.'!B25/'Bal. Sheet'!B37</f>
        <v>0.75514068265682666</v>
      </c>
      <c r="D45" s="455" cm="1">
        <f t="array" aca="1" ref="D45" ca="1">(IF(VALUE(LEFT(D$2,4))&lt;=YEAR('Stock Returns'!$B$2),LOOKUP(2,1/(YEAR('Stock Returns'!$A$7:$A$105)=VALUE(LEFT(D$2,4))),'Stock Returns'!$B$7:$B$105),'Valuation Summary'!$G$4))*'Inc. Stmt.'!C25/'Bal. Sheet'!C37</f>
        <v>1.0837186774671652</v>
      </c>
      <c r="E45" s="455" cm="1">
        <f t="array" aca="1" ref="E45" ca="1">(IF(VALUE(LEFT(E$2,4))&lt;=YEAR('Stock Returns'!$B$2),LOOKUP(2,1/(YEAR('Stock Returns'!$A$7:$A$105)=VALUE(LEFT(E$2,4))),'Stock Returns'!$B$7:$B$105),'Valuation Summary'!$G$4))*'Inc. Stmt.'!D25/'Bal. Sheet'!D37</f>
        <v>1.7958685512519845</v>
      </c>
      <c r="F45" s="455" cm="1">
        <f t="array" aca="1" ref="F45" ca="1">(IF(VALUE(LEFT(F$2,4))&lt;=YEAR('Stock Returns'!$B$2),LOOKUP(2,1/(YEAR('Stock Returns'!$A$7:$A$105)=VALUE(LEFT(F$2,4))),'Stock Returns'!$B$7:$B$105),'Valuation Summary'!$G$4))*'Inc. Stmt.'!E25/'Bal. Sheet'!E37</f>
        <v>1.7303267491397489</v>
      </c>
      <c r="G45" s="455" cm="1">
        <f t="array" aca="1" ref="G45" ca="1">(IF(VALUE(LEFT(G$2,4))&lt;=YEAR('Stock Returns'!$B$2),LOOKUP(2,1/(YEAR('Stock Returns'!$A$7:$A$105)=VALUE(LEFT(G$2,4))),'Stock Returns'!$B$7:$B$105),'Valuation Summary'!$G$4))*'Inc. Stmt.'!F25/'Bal. Sheet'!F37</f>
        <v>1.0662126402016965</v>
      </c>
      <c r="H45" s="455" cm="1">
        <f t="array" aca="1" ref="H45" ca="1">(IF(VALUE(LEFT(H$2,4))&lt;=YEAR('Stock Returns'!$B$2),LOOKUP(2,1/(YEAR('Stock Returns'!$A$7:$A$105)=VALUE(LEFT(H$2,4))),'Stock Returns'!$B$7:$B$105),'Valuation Summary'!$G$4))*'Inc. Stmt.'!G25/'Bal. Sheet'!G37</f>
        <v>1.7909271304607768</v>
      </c>
      <c r="I45" s="455" cm="1">
        <f t="array" aca="1" ref="I45" ca="1">(IF(VALUE(LEFT(I$2,4))&lt;=YEAR('Stock Returns'!$B$2),LOOKUP(2,1/(YEAR('Stock Returns'!$A$7:$A$105)=VALUE(LEFT(I$2,4))),'Stock Returns'!$B$7:$B$105),'Valuation Summary'!$G$4))*'Inc. Stmt.'!H25/'Bal. Sheet'!H37</f>
        <v>1.5206089313642834</v>
      </c>
      <c r="J45" s="456" cm="1">
        <f t="array" aca="1" ref="J45" ca="1">(IF(VALUE(LEFT(J$2,4))&lt;=YEAR('Stock Returns'!$B$2),LOOKUP(2,1/(YEAR('Stock Returns'!$A$7:$A$105)=VALUE(LEFT(J$2,4))),'Stock Returns'!$B$7:$B$105),'Valuation Summary'!$G$4))*'Inc. Stmt.'!I25/'Bal. Sheet'!I37</f>
        <v>1.5270835501309235</v>
      </c>
      <c r="K45" s="457" cm="1">
        <f t="array" aca="1" ref="K45" ca="1">(IF(VALUE(LEFT(K$2,4))&lt;=YEAR('Stock Returns'!$B$2),LOOKUP(2,1/(YEAR('Stock Returns'!$A$7:$A$105)=VALUE(LEFT(K$2,4))),'Stock Returns'!$B$7:$B$105),'Valuation Summary'!$G$4))*'Inc. Stmt.'!J25/'Bal. Sheet'!J37</f>
        <v>1.6589899287680634</v>
      </c>
      <c r="L45" s="457" cm="1">
        <f t="array" aca="1" ref="L45" ca="1">(IF(VALUE(LEFT(L$2,4))&lt;=YEAR('Stock Returns'!$B$2),LOOKUP(2,1/(YEAR('Stock Returns'!$A$7:$A$105)=VALUE(LEFT(L$2,4))),'Stock Returns'!$B$7:$B$105),'Valuation Summary'!$G$4))*'Inc. Stmt.'!K25/'Bal. Sheet'!K37</f>
        <v>1.6849356777385884</v>
      </c>
      <c r="M45" s="457" cm="1">
        <f t="array" aca="1" ref="M45" ca="1">(IF(VALUE(LEFT(M$2,4))&lt;=YEAR('Stock Returns'!$B$2),LOOKUP(2,1/(YEAR('Stock Returns'!$A$7:$A$105)=VALUE(LEFT(M$2,4))),'Stock Returns'!$B$7:$B$105),'Valuation Summary'!$G$4))*'Inc. Stmt.'!L25/'Bal. Sheet'!L37</f>
        <v>1.558668324015912</v>
      </c>
      <c r="N45" s="457" cm="1">
        <f t="array" aca="1" ref="N45" ca="1">(IF(VALUE(LEFT(N$2,4))&lt;=YEAR('Stock Returns'!$B$2),LOOKUP(2,1/(YEAR('Stock Returns'!$A$7:$A$105)=VALUE(LEFT(N$2,4))),'Stock Returns'!$B$7:$B$105),'Valuation Summary'!$G$4))*'Inc. Stmt.'!M25/'Bal. Sheet'!M37</f>
        <v>1.4423192121796486</v>
      </c>
      <c r="O45" s="457" cm="1">
        <f t="array" aca="1" ref="O45" ca="1">(IF(VALUE(LEFT(O$2,4))&lt;=YEAR('Stock Returns'!$B$2),LOOKUP(2,1/(YEAR('Stock Returns'!$A$7:$A$105)=VALUE(LEFT(O$2,4))),'Stock Returns'!$B$7:$B$105),'Valuation Summary'!$G$4))*'Inc. Stmt.'!N25/'Bal. Sheet'!N37</f>
        <v>1.3387624759577019</v>
      </c>
      <c r="P45" s="457" cm="1">
        <f t="array" aca="1" ref="P45" ca="1">(IF(VALUE(LEFT(P$2,4))&lt;=YEAR('Stock Returns'!$B$2),LOOKUP(2,1/(YEAR('Stock Returns'!$A$7:$A$105)=VALUE(LEFT(P$2,4))),'Stock Returns'!$B$7:$B$105),'Valuation Summary'!$G$4))*'Inc. Stmt.'!O25/'Bal. Sheet'!O37</f>
        <v>1.2379594608636724</v>
      </c>
    </row>
    <row r="46" spans="1:16" ht="16.05" customHeight="1">
      <c r="A46" s="435" t="s">
        <v>190</v>
      </c>
      <c r="B46" s="436" t="s">
        <v>471</v>
      </c>
      <c r="C46" s="455" cm="1">
        <f t="array" aca="1" ref="C46" ca="1">(IF(VALUE(LEFT(C$2,4))&lt;=YEAR('Stock Returns'!$B$2),LOOKUP(2,1/(YEAR('Stock Returns'!$A$7:$A$105)=VALUE(LEFT(C$2,4))),'Stock Returns'!$B$7:$B$105),'Valuation Summary'!$G$4))/'Inc. Stmt.'!B23</f>
        <v>7.0980392156862742</v>
      </c>
      <c r="D46" s="455" cm="1">
        <f t="array" aca="1" ref="D46" ca="1">(IF(VALUE(LEFT(D$2,4))&lt;=YEAR('Stock Returns'!$B$2),LOOKUP(2,1/(YEAR('Stock Returns'!$A$7:$A$105)=VALUE(LEFT(D$2,4))),'Stock Returns'!$B$7:$B$105),'Valuation Summary'!$G$4))/'Inc. Stmt.'!C23</f>
        <v>9.8965517241379324</v>
      </c>
      <c r="E46" s="455" cm="1">
        <f t="array" aca="1" ref="E46" ca="1">(IF(VALUE(LEFT(E$2,4))&lt;=YEAR('Stock Returns'!$B$2),LOOKUP(2,1/(YEAR('Stock Returns'!$A$7:$A$105)=VALUE(LEFT(E$2,4))),'Stock Returns'!$B$7:$B$105),'Valuation Summary'!$G$4))/'Inc. Stmt.'!D23</f>
        <v>10.25</v>
      </c>
      <c r="F46" s="455" cm="1">
        <f t="array" aca="1" ref="F46" ca="1">(IF(VALUE(LEFT(F$2,4))&lt;=YEAR('Stock Returns'!$B$2),LOOKUP(2,1/(YEAR('Stock Returns'!$A$7:$A$105)=VALUE(LEFT(F$2,4))),'Stock Returns'!$B$7:$B$105),'Valuation Summary'!$G$4))/'Inc. Stmt.'!E23</f>
        <v>8.1532258064516121</v>
      </c>
      <c r="G46" s="455" cm="1">
        <f t="array" aca="1" ref="G46" ca="1">(IF(VALUE(LEFT(G$2,4))&lt;=YEAR('Stock Returns'!$B$2),LOOKUP(2,1/(YEAR('Stock Returns'!$A$7:$A$105)=VALUE(LEFT(G$2,4))),'Stock Returns'!$B$7:$B$105),'Valuation Summary'!$G$4))/'Inc. Stmt.'!F23</f>
        <v>4.0249169435215952</v>
      </c>
      <c r="H46" s="455" cm="1">
        <f t="array" aca="1" ref="H46" ca="1">(IF(VALUE(LEFT(H$2,4))&lt;=YEAR('Stock Returns'!$B$2),LOOKUP(2,1/(YEAR('Stock Returns'!$A$7:$A$105)=VALUE(LEFT(H$2,4))),'Stock Returns'!$B$7:$B$105),'Valuation Summary'!$G$4))/'Inc. Stmt.'!G23</f>
        <v>8.4592833876221505</v>
      </c>
      <c r="I46" s="455" cm="1">
        <f t="array" aca="1" ref="I46" ca="1">(IF(VALUE(LEFT(I$2,4))&lt;=YEAR('Stock Returns'!$B$2),LOOKUP(2,1/(YEAR('Stock Returns'!$A$7:$A$105)=VALUE(LEFT(I$2,4))),'Stock Returns'!$B$7:$B$105),'Valuation Summary'!$G$4))/'Inc. Stmt.'!H23</f>
        <v>6.6852071005917164</v>
      </c>
      <c r="J46" s="456" cm="1">
        <f t="array" aca="1" ref="J46" ca="1">(IF(VALUE(LEFT(J$2,4))&lt;=YEAR('Stock Returns'!$B$2),LOOKUP(2,1/(YEAR('Stock Returns'!$A$7:$A$105)=VALUE(LEFT(J$2,4))),'Stock Returns'!$B$7:$B$105),'Valuation Summary'!$G$4))/'Inc. Stmt.'!I23</f>
        <v>9.2065775943366557</v>
      </c>
      <c r="K46" s="457" cm="1">
        <f t="array" aca="1" ref="K46" ca="1">(IF(VALUE(LEFT(K$2,4))&lt;=YEAR('Stock Returns'!$B$2),LOOKUP(2,1/(YEAR('Stock Returns'!$A$7:$A$105)=VALUE(LEFT(K$2,4))),'Stock Returns'!$B$7:$B$105),'Valuation Summary'!$G$4))/'Inc. Stmt.'!J23</f>
        <v>10.883327254972244</v>
      </c>
      <c r="L46" s="457" cm="1">
        <f t="array" aca="1" ref="L46" ca="1">(IF(VALUE(LEFT(L$2,4))&lt;=YEAR('Stock Returns'!$B$2),LOOKUP(2,1/(YEAR('Stock Returns'!$A$7:$A$105)=VALUE(LEFT(L$2,4))),'Stock Returns'!$B$7:$B$105),'Valuation Summary'!$G$4))/'Inc. Stmt.'!K23</f>
        <v>12.203705914878558</v>
      </c>
      <c r="M46" s="457" cm="1">
        <f t="array" aca="1" ref="M46" ca="1">(IF(VALUE(LEFT(M$2,4))&lt;=YEAR('Stock Returns'!$B$2),LOOKUP(2,1/(YEAR('Stock Returns'!$A$7:$A$105)=VALUE(LEFT(M$2,4))),'Stock Returns'!$B$7:$B$105),'Valuation Summary'!$G$4))/'Inc. Stmt.'!L23</f>
        <v>11.743589916458184</v>
      </c>
      <c r="N46" s="457" cm="1">
        <f t="array" aca="1" ref="N46" ca="1">(IF(VALUE(LEFT(N$2,4))&lt;=YEAR('Stock Returns'!$B$2),LOOKUP(2,1/(YEAR('Stock Returns'!$A$7:$A$105)=VALUE(LEFT(N$2,4))),'Stock Returns'!$B$7:$B$105),'Valuation Summary'!$G$4))/'Inc. Stmt.'!M23</f>
        <v>11.245702593966982</v>
      </c>
      <c r="O46" s="457" cm="1">
        <f t="array" aca="1" ref="O46" ca="1">(IF(VALUE(LEFT(O$2,4))&lt;=YEAR('Stock Returns'!$B$2),LOOKUP(2,1/(YEAR('Stock Returns'!$A$7:$A$105)=VALUE(LEFT(O$2,4))),'Stock Returns'!$B$7:$B$105),'Valuation Summary'!$G$4))/'Inc. Stmt.'!N23</f>
        <v>10.587699492729191</v>
      </c>
      <c r="P46" s="457" cm="1">
        <f t="array" aca="1" ref="P46" ca="1">(IF(VALUE(LEFT(P$2,4))&lt;=YEAR('Stock Returns'!$B$2),LOOKUP(2,1/(YEAR('Stock Returns'!$A$7:$A$105)=VALUE(LEFT(P$2,4))),'Stock Returns'!$B$7:$B$105),'Valuation Summary'!$G$4))/'Inc. Stmt.'!O23</f>
        <v>9.8882973149275912</v>
      </c>
    </row>
    <row r="47" spans="1:16" ht="16.05" customHeight="1">
      <c r="A47" s="435" t="s">
        <v>191</v>
      </c>
      <c r="B47" s="436" t="s">
        <v>472</v>
      </c>
      <c r="C47" s="455" cm="1">
        <f t="array" aca="1" ref="C47" ca="1">(IF(VALUE(LEFT(C$2,4))&lt;=YEAR('Stock Returns'!$B$2),LOOKUP(2,1/(YEAR('Stock Returns'!$A$7:$A$105)=VALUE(LEFT(C$2,4))),'Stock Returns'!$B$7:$B$105),'Valuation Summary'!$G$4))*'Inc. Stmt.'!B24/('Inc. Stmt.'!B17+'Cash Flow Stmt.'!B5)</f>
        <v>5.4452894276653128</v>
      </c>
      <c r="D47" s="455" cm="1">
        <f t="array" aca="1" ref="D47" ca="1">(IF(VALUE(LEFT(D$2,4))&lt;=YEAR('Stock Returns'!$B$2),LOOKUP(2,1/(YEAR('Stock Returns'!$A$7:$A$105)=VALUE(LEFT(D$2,4))),'Stock Returns'!$B$7:$B$105),'Valuation Summary'!$G$4))*'Inc. Stmt.'!C24/('Inc. Stmt.'!C17+'Cash Flow Stmt.'!C5)</f>
        <v>8.6090203469820867</v>
      </c>
      <c r="E47" s="455" cm="1">
        <f t="array" aca="1" ref="E47" ca="1">(IF(VALUE(LEFT(E$2,4))&lt;=YEAR('Stock Returns'!$B$2),LOOKUP(2,1/(YEAR('Stock Returns'!$A$7:$A$105)=VALUE(LEFT(E$2,4))),'Stock Returns'!$B$7:$B$105),'Valuation Summary'!$G$4))*'Inc. Stmt.'!D24/('Inc. Stmt.'!D17+'Cash Flow Stmt.'!D5)</f>
        <v>9.5588062208244491</v>
      </c>
      <c r="F47" s="455" cm="1">
        <f t="array" aca="1" ref="F47" ca="1">(IF(VALUE(LEFT(F$2,4))&lt;=YEAR('Stock Returns'!$B$2),LOOKUP(2,1/(YEAR('Stock Returns'!$A$7:$A$105)=VALUE(LEFT(F$2,4))),'Stock Returns'!$B$7:$B$105),'Valuation Summary'!$G$4))*'Inc. Stmt.'!E24/('Inc. Stmt.'!E17+'Cash Flow Stmt.'!E5)</f>
        <v>7.4768849728424858</v>
      </c>
      <c r="G47" s="455" cm="1">
        <f t="array" aca="1" ref="G47" ca="1">(IF(VALUE(LEFT(G$2,4))&lt;=YEAR('Stock Returns'!$B$2),LOOKUP(2,1/(YEAR('Stock Returns'!$A$7:$A$105)=VALUE(LEFT(G$2,4))),'Stock Returns'!$B$7:$B$105),'Valuation Summary'!$G$4))*'Inc. Stmt.'!F24/('Inc. Stmt.'!F17+'Cash Flow Stmt.'!F5)</f>
        <v>3.6752759795678398</v>
      </c>
      <c r="H47" s="455" cm="1">
        <f t="array" aca="1" ref="H47" ca="1">(IF(VALUE(LEFT(H$2,4))&lt;=YEAR('Stock Returns'!$B$2),LOOKUP(2,1/(YEAR('Stock Returns'!$A$7:$A$105)=VALUE(LEFT(H$2,4))),'Stock Returns'!$B$7:$B$105),'Valuation Summary'!$G$4))*'Inc. Stmt.'!G24/('Inc. Stmt.'!G17+'Cash Flow Stmt.'!G5)</f>
        <v>7.6878633872735476</v>
      </c>
      <c r="I47" s="455" cm="1">
        <f t="array" aca="1" ref="I47" ca="1">(IF(VALUE(LEFT(I$2,4))&lt;=YEAR('Stock Returns'!$B$2),LOOKUP(2,1/(YEAR('Stock Returns'!$A$7:$A$105)=VALUE(LEFT(I$2,4))),'Stock Returns'!$B$7:$B$105),'Valuation Summary'!$G$4))*'Inc. Stmt.'!H24/('Inc. Stmt.'!H17+'Cash Flow Stmt.'!H5)</f>
        <v>6.0017797381253644</v>
      </c>
      <c r="J47" s="456" cm="1">
        <f t="array" aca="1" ref="J47" ca="1">(IF(VALUE(LEFT(J$2,4))&lt;=YEAR('Stock Returns'!$B$2),LOOKUP(2,1/(YEAR('Stock Returns'!$A$7:$A$105)=VALUE(LEFT(J$2,4))),'Stock Returns'!$B$7:$B$105),'Valuation Summary'!$G$4))*'Inc. Stmt.'!I24/('Inc. Stmt.'!I17+'Cash Flow Stmt.'!I5)</f>
        <v>8.2595778114159248</v>
      </c>
      <c r="K47" s="457" cm="1">
        <f t="array" aca="1" ref="K47" ca="1">(IF(VALUE(LEFT(K$2,4))&lt;=YEAR('Stock Returns'!$B$2),LOOKUP(2,1/(YEAR('Stock Returns'!$A$7:$A$105)=VALUE(LEFT(K$2,4))),'Stock Returns'!$B$7:$B$105),'Valuation Summary'!$G$4))*'Inc. Stmt.'!J24/('Inc. Stmt.'!J17+'Cash Flow Stmt.'!J5)</f>
        <v>9.7418420822697822</v>
      </c>
      <c r="L47" s="457" cm="1">
        <f t="array" aca="1" ref="L47" ca="1">(IF(VALUE(LEFT(L$2,4))&lt;=YEAR('Stock Returns'!$B$2),LOOKUP(2,1/(YEAR('Stock Returns'!$A$7:$A$105)=VALUE(LEFT(L$2,4))),'Stock Returns'!$B$7:$B$105),'Valuation Summary'!$G$4))*'Inc. Stmt.'!K24/('Inc. Stmt.'!K17+'Cash Flow Stmt.'!K5)</f>
        <v>10.884301418560726</v>
      </c>
      <c r="M47" s="457" cm="1">
        <f t="array" aca="1" ref="M47" ca="1">(IF(VALUE(LEFT(M$2,4))&lt;=YEAR('Stock Returns'!$B$2),LOOKUP(2,1/(YEAR('Stock Returns'!$A$7:$A$105)=VALUE(LEFT(M$2,4))),'Stock Returns'!$B$7:$B$105),'Valuation Summary'!$G$4))*'Inc. Stmt.'!L24/('Inc. Stmt.'!L17+'Cash Flow Stmt.'!L5)</f>
        <v>10.433603415476274</v>
      </c>
      <c r="N47" s="457" cm="1">
        <f t="array" aca="1" ref="N47" ca="1">(IF(VALUE(LEFT(N$2,4))&lt;=YEAR('Stock Returns'!$B$2),LOOKUP(2,1/(YEAR('Stock Returns'!$A$7:$A$105)=VALUE(LEFT(N$2,4))),'Stock Returns'!$B$7:$B$105),'Valuation Summary'!$G$4))*'Inc. Stmt.'!M24/('Inc. Stmt.'!M17+'Cash Flow Stmt.'!M5)</f>
        <v>9.9603118854638932</v>
      </c>
      <c r="O47" s="457" cm="1">
        <f t="array" aca="1" ref="O47" ca="1">(IF(VALUE(LEFT(O$2,4))&lt;=YEAR('Stock Returns'!$B$2),LOOKUP(2,1/(YEAR('Stock Returns'!$A$7:$A$105)=VALUE(LEFT(O$2,4))),'Stock Returns'!$B$7:$B$105),'Valuation Summary'!$G$4))*'Inc. Stmt.'!N24/('Inc. Stmt.'!N17+'Cash Flow Stmt.'!N5)</f>
        <v>9.3775437441557337</v>
      </c>
      <c r="P47" s="457" cm="1">
        <f t="array" aca="1" ref="P47" ca="1">(IF(VALUE(LEFT(P$2,4))&lt;=YEAR('Stock Returns'!$B$2),LOOKUP(2,1/(YEAR('Stock Returns'!$A$7:$A$105)=VALUE(LEFT(P$2,4))),'Stock Returns'!$B$7:$B$105),'Valuation Summary'!$G$4))*'Inc. Stmt.'!O24/('Inc. Stmt.'!O17+'Cash Flow Stmt.'!O5)</f>
        <v>8.7576845803361092</v>
      </c>
    </row>
    <row r="48" spans="1:16" ht="16.05" customHeight="1">
      <c r="A48" s="435" t="s">
        <v>192</v>
      </c>
      <c r="B48" s="436" t="s">
        <v>473</v>
      </c>
      <c r="C48" s="449">
        <f>('Bal. Sheet'!B22+'Bal. Sheet'!B23+'Bal. Sheet'!B25)/(('Bal. Sheet'!B22+'Bal. Sheet'!B23+'Bal. Sheet'!B25)+'Bal. Sheet'!B37)*100</f>
        <v>29.21002072831908</v>
      </c>
      <c r="D48" s="449">
        <f>('Bal. Sheet'!C22+'Bal. Sheet'!C23+'Bal. Sheet'!C25)/(('Bal. Sheet'!C22+'Bal. Sheet'!C23+'Bal. Sheet'!C25)+'Bal. Sheet'!C37)*100</f>
        <v>30.737962638954709</v>
      </c>
      <c r="E48" s="449">
        <f>('Bal. Sheet'!D22+'Bal. Sheet'!D23+'Bal. Sheet'!D25)/(('Bal. Sheet'!D22+'Bal. Sheet'!D23+'Bal. Sheet'!D25)+'Bal. Sheet'!D37)*100</f>
        <v>25.293203432277629</v>
      </c>
      <c r="F48" s="449">
        <f>('Bal. Sheet'!E22+'Bal. Sheet'!E23+'Bal. Sheet'!E25)/(('Bal. Sheet'!E22+'Bal. Sheet'!E23+'Bal. Sheet'!E25)+'Bal. Sheet'!E37)*100</f>
        <v>27.458762146066242</v>
      </c>
      <c r="G48" s="449">
        <f>('Bal. Sheet'!F22+'Bal. Sheet'!F23+'Bal. Sheet'!F25)/(('Bal. Sheet'!F22+'Bal. Sheet'!F23+'Bal. Sheet'!F25)+'Bal. Sheet'!F37)*100</f>
        <v>25.356924483182446</v>
      </c>
      <c r="H48" s="449">
        <f>('Bal. Sheet'!G22+'Bal. Sheet'!G23+'Bal. Sheet'!G25)/(('Bal. Sheet'!G22+'Bal. Sheet'!G23+'Bal. Sheet'!G25)+'Bal. Sheet'!G37)*100</f>
        <v>20.834021574017957</v>
      </c>
      <c r="I48" s="449">
        <f>('Bal. Sheet'!H22+'Bal. Sheet'!H23+'Bal. Sheet'!H25)/(('Bal. Sheet'!H22+'Bal. Sheet'!H23+'Bal. Sheet'!H25)+'Bal. Sheet'!H37)*100</f>
        <v>16.914364391023387</v>
      </c>
      <c r="J48" s="450">
        <f>('Bal. Sheet'!I22+'Bal. Sheet'!I23+'Bal. Sheet'!I25)/(('Bal. Sheet'!I22+'Bal. Sheet'!I23+'Bal. Sheet'!I25)+'Bal. Sheet'!I37)*100</f>
        <v>16.838702076945744</v>
      </c>
      <c r="K48" s="451">
        <f>('Bal. Sheet'!J22+'Bal. Sheet'!J23+'Bal. Sheet'!J25)/(('Bal. Sheet'!J22+'Bal. Sheet'!J23+'Bal. Sheet'!J25)+'Bal. Sheet'!J37)*100</f>
        <v>12.833223730161791</v>
      </c>
      <c r="L48" s="451">
        <f>('Bal. Sheet'!K22+'Bal. Sheet'!K23+'Bal. Sheet'!K25)/(('Bal. Sheet'!K22+'Bal. Sheet'!K23+'Bal. Sheet'!K25)+'Bal. Sheet'!K37)*100</f>
        <v>10.064897149968999</v>
      </c>
      <c r="M48" s="451">
        <f>('Bal. Sheet'!L22+'Bal. Sheet'!L23+'Bal. Sheet'!L25)/(('Bal. Sheet'!L22+'Bal. Sheet'!L23+'Bal. Sheet'!L25)+'Bal. Sheet'!L37)*100</f>
        <v>6.3642069043416054</v>
      </c>
      <c r="N48" s="451">
        <f>('Bal. Sheet'!M22+'Bal. Sheet'!M23+'Bal. Sheet'!M25)/(('Bal. Sheet'!M22+'Bal. Sheet'!M23+'Bal. Sheet'!M25)+'Bal. Sheet'!M37)*100</f>
        <v>2.3987690123878309</v>
      </c>
      <c r="O48" s="451">
        <f>('Bal. Sheet'!N22+'Bal. Sheet'!N23+'Bal. Sheet'!N25)/(('Bal. Sheet'!N22+'Bal. Sheet'!N23+'Bal. Sheet'!N25)+'Bal. Sheet'!N37)*100</f>
        <v>2.3398110365743494</v>
      </c>
      <c r="P48" s="451">
        <f>('Bal. Sheet'!O22+'Bal. Sheet'!O23+'Bal. Sheet'!O25)/(('Bal. Sheet'!O22+'Bal. Sheet'!O23+'Bal. Sheet'!O25)+'Bal. Sheet'!O37)*100</f>
        <v>2.2916411009077167</v>
      </c>
    </row>
    <row r="49" spans="1:16" ht="16.05" customHeight="1">
      <c r="A49" s="438" t="s">
        <v>67</v>
      </c>
      <c r="B49" s="436" t="s">
        <v>474</v>
      </c>
      <c r="C49" s="452">
        <f>'Inc. Stmt.'!B15+'Cash Flow Stmt.'!B5</f>
        <v>84614</v>
      </c>
      <c r="D49" s="452">
        <f>'Inc. Stmt.'!C15+'Cash Flow Stmt.'!C5</f>
        <v>87408</v>
      </c>
      <c r="E49" s="452">
        <f>'Inc. Stmt.'!D15+'Cash Flow Stmt.'!D5</f>
        <v>146479</v>
      </c>
      <c r="F49" s="452">
        <f>'Inc. Stmt.'!E15+'Cash Flow Stmt.'!E5</f>
        <v>259730</v>
      </c>
      <c r="G49" s="452">
        <f>'Inc. Stmt.'!F15+'Cash Flow Stmt.'!F5</f>
        <v>398832</v>
      </c>
      <c r="H49" s="452">
        <f>'Inc. Stmt.'!G15+'Cash Flow Stmt.'!G5</f>
        <v>394858</v>
      </c>
      <c r="I49" s="452">
        <f>'Inc. Stmt.'!H15+'Cash Flow Stmt.'!H5</f>
        <v>516759</v>
      </c>
      <c r="J49" s="454">
        <f>'Inc. Stmt.'!I15+'Cash Flow Stmt.'!I5</f>
        <v>439154.90506375016</v>
      </c>
      <c r="K49" s="454">
        <f>'Inc. Stmt.'!J15+'Cash Flow Stmt.'!J5</f>
        <v>432356.16477619327</v>
      </c>
      <c r="L49" s="454">
        <f>'Inc. Stmt.'!K15+'Cash Flow Stmt.'!K5</f>
        <v>425828.39100768341</v>
      </c>
      <c r="M49" s="454">
        <f>'Inc. Stmt.'!L15+'Cash Flow Stmt.'!L5</f>
        <v>444247.96579946455</v>
      </c>
      <c r="N49" s="454">
        <f>'Inc. Stmt.'!M15+'Cash Flow Stmt.'!M5</f>
        <v>464380.87925998995</v>
      </c>
      <c r="O49" s="454">
        <f>'Inc. Stmt.'!N15+'Cash Flow Stmt.'!N5</f>
        <v>493361.8367376019</v>
      </c>
      <c r="P49" s="454">
        <f>'Inc. Stmt.'!O15+'Cash Flow Stmt.'!O5</f>
        <v>526049.24642030429</v>
      </c>
    </row>
    <row r="50" spans="1:16" ht="16.05" customHeight="1">
      <c r="A50" s="438" t="s">
        <v>68</v>
      </c>
      <c r="B50" s="439" t="s">
        <v>475</v>
      </c>
      <c r="C50" s="440">
        <f>'Inc. Stmt.'!B43</f>
        <v>0.13567611164649232</v>
      </c>
      <c r="D50" s="440">
        <f>'Inc. Stmt.'!C43</f>
        <v>0.11041103504029508</v>
      </c>
      <c r="E50" s="440">
        <f>'Inc. Stmt.'!D43</f>
        <v>0.15007771349182036</v>
      </c>
      <c r="F50" s="440">
        <f>'Inc. Stmt.'!E43</f>
        <v>0.18514109586306987</v>
      </c>
      <c r="G50" s="440">
        <f>'Inc. Stmt.'!F43</f>
        <v>0.22689361033978403</v>
      </c>
      <c r="H50" s="440">
        <f>'Inc. Stmt.'!G43</f>
        <v>0.22211609317605233</v>
      </c>
      <c r="I50" s="440">
        <f>'Inc. Stmt.'!H43</f>
        <v>0.24619963476854778</v>
      </c>
      <c r="J50" s="446">
        <f>'Inc. Stmt.'!I43</f>
        <v>0.20978840559929349</v>
      </c>
      <c r="K50" s="441">
        <f>'Inc. Stmt.'!J43</f>
        <v>0.2052746584616815</v>
      </c>
      <c r="L50" s="441">
        <f>'Inc. Stmt.'!K43</f>
        <v>0.19849511669960149</v>
      </c>
      <c r="M50" s="441">
        <f>'Inc. Stmt.'!L43</f>
        <v>0.19171557493752248</v>
      </c>
      <c r="N50" s="441">
        <f>'Inc. Stmt.'!M43</f>
        <v>0.1866444859094725</v>
      </c>
      <c r="O50" s="441">
        <f>'Inc. Stmt.'!N43</f>
        <v>0.18664448590947247</v>
      </c>
      <c r="P50" s="441">
        <f>'Inc. Stmt.'!O43</f>
        <v>0.18664448590947247</v>
      </c>
    </row>
    <row r="51" spans="1:16" ht="16.05" customHeight="1">
      <c r="A51" s="438" t="s">
        <v>127</v>
      </c>
      <c r="B51" s="439" t="s">
        <v>399</v>
      </c>
      <c r="C51" s="440">
        <f>'Cash Flow Stmt.'!B42/'Inc. Stmt.'!B18</f>
        <v>-0.8323265179677819</v>
      </c>
      <c r="D51" s="440">
        <f>'Cash Flow Stmt.'!C42/'Inc. Stmt.'!C18</f>
        <v>-1.9470421537371589</v>
      </c>
      <c r="E51" s="440">
        <f>'Cash Flow Stmt.'!D42/'Inc. Stmt.'!D18</f>
        <v>-1.2794834307992202</v>
      </c>
      <c r="F51" s="440">
        <f>'Cash Flow Stmt.'!E42/'Inc. Stmt.'!E18</f>
        <v>-0.46616329122856537</v>
      </c>
      <c r="G51" s="440">
        <f>'Cash Flow Stmt.'!F42/'Inc. Stmt.'!F18</f>
        <v>-0.48504321853645294</v>
      </c>
      <c r="H51" s="440">
        <f>'Cash Flow Stmt.'!G42/'Inc. Stmt.'!G18</f>
        <v>-0.86425688239829468</v>
      </c>
      <c r="I51" s="440">
        <f>'Cash Flow Stmt.'!H42/'Inc. Stmt.'!H18</f>
        <v>-0.47185988980096705</v>
      </c>
      <c r="J51" s="444"/>
      <c r="K51" s="441"/>
      <c r="L51" s="441"/>
      <c r="M51" s="441"/>
      <c r="N51" s="441"/>
      <c r="O51" s="441"/>
      <c r="P51" s="441"/>
    </row>
    <row r="52" spans="1:16" ht="16.05" customHeight="1">
      <c r="A52" s="438"/>
      <c r="B52" s="439"/>
      <c r="C52" s="437"/>
      <c r="D52" s="437"/>
      <c r="E52" s="437"/>
      <c r="F52" s="437"/>
      <c r="G52" s="437"/>
      <c r="H52" s="437"/>
      <c r="I52" s="437"/>
      <c r="J52"/>
      <c r="K52"/>
      <c r="L52"/>
      <c r="M52"/>
      <c r="N52"/>
      <c r="O52"/>
      <c r="P52"/>
    </row>
  </sheetData>
  <phoneticPr fontId="44"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E1260-7D73-4119-B472-0727868B422B}">
  <sheetPr>
    <tabColor rgb="FFD4EEF8"/>
    <pageSetUpPr autoPageBreaks="0"/>
  </sheetPr>
  <dimension ref="A1:P30"/>
  <sheetViews>
    <sheetView showGridLines="0" workbookViewId="0">
      <selection sqref="A1:XFD1"/>
    </sheetView>
  </sheetViews>
  <sheetFormatPr defaultColWidth="16.77734375" defaultRowHeight="16.05" customHeight="1"/>
  <cols>
    <col min="1" max="1" width="2.5546875" customWidth="1"/>
    <col min="3" max="3" width="16.77734375" style="1"/>
  </cols>
  <sheetData>
    <row r="1" spans="1:16" ht="30" customHeight="1">
      <c r="A1" s="434" t="s">
        <v>253</v>
      </c>
      <c r="B1" s="461"/>
      <c r="C1" s="433"/>
      <c r="D1" s="433"/>
      <c r="E1" s="433"/>
      <c r="F1" s="433"/>
      <c r="G1" s="433"/>
      <c r="H1" s="433"/>
      <c r="I1" s="433"/>
      <c r="J1" s="433"/>
      <c r="K1" s="433"/>
      <c r="L1" s="433"/>
      <c r="M1" s="433"/>
      <c r="N1" s="433"/>
      <c r="O1" s="433"/>
      <c r="P1" s="433"/>
    </row>
    <row r="2" spans="1:16" ht="15" customHeight="1">
      <c r="A2" s="2" t="s">
        <v>330</v>
      </c>
    </row>
    <row r="3" spans="1:16" ht="16.05" customHeight="1">
      <c r="A3" s="2" t="s">
        <v>331</v>
      </c>
    </row>
    <row r="4" spans="1:16" ht="16.05" customHeight="1">
      <c r="B4" t="s">
        <v>332</v>
      </c>
      <c r="C4" s="1">
        <v>255900</v>
      </c>
      <c r="D4" t="s">
        <v>333</v>
      </c>
    </row>
    <row r="5" spans="1:16" ht="16.05" customHeight="1">
      <c r="B5" t="s">
        <v>334</v>
      </c>
      <c r="C5" s="1">
        <v>262500</v>
      </c>
    </row>
    <row r="6" spans="1:16" ht="16.05" customHeight="1">
      <c r="B6" t="s">
        <v>335</v>
      </c>
      <c r="C6" s="8">
        <v>3.3399999999999999E-2</v>
      </c>
    </row>
    <row r="7" spans="1:16" ht="16.05" customHeight="1">
      <c r="B7" t="s">
        <v>336</v>
      </c>
      <c r="C7" s="1">
        <f>C5*C6</f>
        <v>8767.5</v>
      </c>
    </row>
    <row r="8" spans="1:16" ht="16.05" customHeight="1">
      <c r="B8" t="s">
        <v>337</v>
      </c>
      <c r="C8" s="95">
        <v>3.15</v>
      </c>
    </row>
    <row r="9" spans="1:16" ht="16.05" customHeight="1">
      <c r="B9" t="s">
        <v>253</v>
      </c>
      <c r="C9" s="493">
        <f>RATE(C8,C7,-C4,C5)</f>
        <v>4.2089251866370601E-2</v>
      </c>
    </row>
    <row r="11" spans="1:16" ht="16.05" customHeight="1">
      <c r="A11" s="2" t="s">
        <v>338</v>
      </c>
    </row>
    <row r="12" spans="1:16" ht="16.05" customHeight="1">
      <c r="B12" t="s">
        <v>339</v>
      </c>
      <c r="C12" s="1">
        <v>50000</v>
      </c>
    </row>
    <row r="13" spans="1:16" ht="16.05" customHeight="1">
      <c r="B13" t="s">
        <v>340</v>
      </c>
      <c r="C13" s="1">
        <v>261877</v>
      </c>
    </row>
    <row r="14" spans="1:16" ht="16.05" customHeight="1">
      <c r="B14" t="s">
        <v>41</v>
      </c>
      <c r="C14" s="1">
        <v>14871</v>
      </c>
    </row>
    <row r="15" spans="1:16" ht="16.05" customHeight="1">
      <c r="B15" t="s">
        <v>341</v>
      </c>
      <c r="C15" s="1">
        <f>SUM(C12:C14)</f>
        <v>326748</v>
      </c>
      <c r="D15" t="s">
        <v>342</v>
      </c>
    </row>
    <row r="16" spans="1:16" ht="16.05" customHeight="1">
      <c r="B16" s="97" t="s">
        <v>193</v>
      </c>
      <c r="C16" s="98">
        <v>1831634</v>
      </c>
    </row>
    <row r="17" spans="1:3" ht="16.05" customHeight="1">
      <c r="B17" t="s">
        <v>343</v>
      </c>
      <c r="C17" s="1">
        <v>218</v>
      </c>
    </row>
    <row r="18" spans="1:3" ht="16.05" customHeight="1">
      <c r="B18" t="s">
        <v>31</v>
      </c>
      <c r="C18" s="1">
        <v>680</v>
      </c>
    </row>
    <row r="19" spans="1:3" ht="16.05" customHeight="1">
      <c r="B19" s="97" t="s">
        <v>344</v>
      </c>
      <c r="C19" s="98">
        <f>C16-C17-C18</f>
        <v>1830736</v>
      </c>
    </row>
    <row r="20" spans="1:3" ht="16.05" customHeight="1">
      <c r="B20" s="97" t="s">
        <v>345</v>
      </c>
      <c r="C20" s="99">
        <f>C15/C19</f>
        <v>0.1784790379388399</v>
      </c>
    </row>
    <row r="21" spans="1:3" ht="16.05" customHeight="1">
      <c r="B21" t="s">
        <v>346</v>
      </c>
      <c r="C21" s="493">
        <f>0.0366+0.015</f>
        <v>5.16E-2</v>
      </c>
    </row>
    <row r="23" spans="1:3" ht="16.05" customHeight="1">
      <c r="A23" s="2" t="s">
        <v>347</v>
      </c>
    </row>
    <row r="24" spans="1:3" ht="16.05" customHeight="1">
      <c r="B24" t="s">
        <v>348</v>
      </c>
      <c r="C24" s="493">
        <v>5.5300000000000002E-2</v>
      </c>
    </row>
    <row r="27" spans="1:3" ht="16.05" customHeight="1">
      <c r="A27" s="522" t="s">
        <v>479</v>
      </c>
      <c r="B27" s="522"/>
      <c r="C27" s="522"/>
    </row>
    <row r="28" spans="1:3" ht="16.05" customHeight="1">
      <c r="A28" t="s">
        <v>480</v>
      </c>
      <c r="C28" s="493">
        <f>C9</f>
        <v>4.2089251866370601E-2</v>
      </c>
    </row>
    <row r="29" spans="1:3" ht="16.05" customHeight="1">
      <c r="A29" s="5" t="s">
        <v>481</v>
      </c>
      <c r="B29" s="5"/>
      <c r="C29" s="494">
        <f>C21</f>
        <v>5.16E-2</v>
      </c>
    </row>
    <row r="30" spans="1:3" ht="16.05" customHeight="1">
      <c r="A30" t="s">
        <v>478</v>
      </c>
      <c r="C30" s="94">
        <f>AVERAGE(C28:C29)</f>
        <v>4.6844625933185301E-2</v>
      </c>
    </row>
  </sheetData>
  <mergeCells count="1">
    <mergeCell ref="A27:C2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4EC34-C0D1-4C42-AD2F-DFA64659C0B4}">
  <sheetPr>
    <tabColor rgb="FFD4EEF8"/>
    <pageSetUpPr autoPageBreaks="0"/>
  </sheetPr>
  <dimension ref="A1:P8"/>
  <sheetViews>
    <sheetView showGridLines="0" workbookViewId="0">
      <selection activeCell="C4" sqref="C4"/>
    </sheetView>
  </sheetViews>
  <sheetFormatPr defaultColWidth="16.77734375" defaultRowHeight="16.05" customHeight="1"/>
  <cols>
    <col min="1" max="1" width="33.88671875" bestFit="1" customWidth="1"/>
  </cols>
  <sheetData>
    <row r="1" spans="1:16" ht="30" customHeight="1">
      <c r="A1" s="434" t="s">
        <v>263</v>
      </c>
      <c r="B1" s="461"/>
      <c r="C1" s="433"/>
      <c r="D1" s="433"/>
      <c r="E1" s="433"/>
      <c r="F1" s="433"/>
      <c r="G1" s="433"/>
      <c r="H1" s="433"/>
      <c r="I1" s="433"/>
      <c r="J1" s="433"/>
      <c r="K1" s="433"/>
      <c r="L1" s="433"/>
      <c r="M1" s="433"/>
      <c r="N1" s="433"/>
      <c r="O1" s="433"/>
      <c r="P1" s="433"/>
    </row>
    <row r="2" spans="1:16" ht="15" customHeight="1">
      <c r="A2" t="s">
        <v>349</v>
      </c>
      <c r="B2" s="12">
        <v>0.21</v>
      </c>
    </row>
    <row r="3" spans="1:16" ht="16.05" customHeight="1">
      <c r="A3" t="s">
        <v>350</v>
      </c>
      <c r="B3" s="12">
        <v>7.4999999999999997E-3</v>
      </c>
    </row>
    <row r="4" spans="1:16" ht="16.05" customHeight="1">
      <c r="A4" s="97" t="s">
        <v>351</v>
      </c>
      <c r="B4" s="102">
        <f>1489582/2070246</f>
        <v>0.71951932282443731</v>
      </c>
      <c r="C4" t="s">
        <v>352</v>
      </c>
    </row>
    <row r="5" spans="1:16" ht="16.05" customHeight="1">
      <c r="A5" t="s">
        <v>353</v>
      </c>
      <c r="B5" s="12">
        <v>5.1900000000000002E-2</v>
      </c>
    </row>
    <row r="6" spans="1:16" ht="16.05" customHeight="1">
      <c r="A6" t="s">
        <v>354</v>
      </c>
      <c r="B6" s="12">
        <v>5.5E-2</v>
      </c>
    </row>
    <row r="7" spans="1:16" ht="16.05" customHeight="1">
      <c r="A7" s="103" t="s">
        <v>355</v>
      </c>
      <c r="B7" s="104">
        <f>580664/2070246</f>
        <v>0.28048067717556269</v>
      </c>
    </row>
    <row r="8" spans="1:16" ht="16.05" customHeight="1">
      <c r="A8" s="97" t="s">
        <v>356</v>
      </c>
      <c r="B8" s="102">
        <f>B2+(B3*B4)+(AVERAGE(B5:B6)*B7)</f>
        <v>0.23038808711621708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5744D-A618-49D1-86E7-B09C0A31CDE7}">
  <sheetPr>
    <tabColor theme="5" tint="0.79998168889431442"/>
    <pageSetUpPr autoPageBreaks="0"/>
  </sheetPr>
  <dimension ref="A1:M106"/>
  <sheetViews>
    <sheetView showGridLines="0" workbookViewId="0">
      <selection activeCell="J33" sqref="J33"/>
    </sheetView>
  </sheetViews>
  <sheetFormatPr defaultColWidth="16.77734375" defaultRowHeight="16.05" customHeight="1"/>
  <cols>
    <col min="1" max="1" width="5.5546875" bestFit="1" customWidth="1"/>
  </cols>
  <sheetData>
    <row r="1" spans="1:12" ht="30" customHeight="1">
      <c r="A1" s="88" t="s">
        <v>76</v>
      </c>
      <c r="B1" s="81" t="s">
        <v>194</v>
      </c>
      <c r="C1" s="85" t="s">
        <v>195</v>
      </c>
      <c r="D1" s="85" t="s">
        <v>196</v>
      </c>
      <c r="E1" s="81" t="s">
        <v>197</v>
      </c>
      <c r="F1" s="81" t="s">
        <v>198</v>
      </c>
      <c r="G1" s="81" t="s">
        <v>199</v>
      </c>
      <c r="H1" s="81" t="s">
        <v>200</v>
      </c>
      <c r="I1" s="81" t="s">
        <v>201</v>
      </c>
      <c r="J1" s="81" t="s">
        <v>202</v>
      </c>
      <c r="K1" s="81" t="s">
        <v>203</v>
      </c>
      <c r="L1" s="81" t="s">
        <v>204</v>
      </c>
    </row>
    <row r="2" spans="1:12" ht="15" customHeight="1">
      <c r="A2" s="81">
        <v>1927</v>
      </c>
      <c r="B2" s="81">
        <v>17.66</v>
      </c>
      <c r="C2" s="85">
        <f t="shared" ref="C2:C10" si="0">E2*B2</f>
        <v>0.61810000000000009</v>
      </c>
      <c r="D2" s="83"/>
      <c r="E2" s="75">
        <v>3.5000000000000003E-2</v>
      </c>
      <c r="F2" s="82">
        <v>3.1699999999999999E-2</v>
      </c>
      <c r="G2" s="81"/>
      <c r="H2" s="82">
        <v>4.6799999999999994E-2</v>
      </c>
      <c r="I2" s="81"/>
      <c r="J2" s="82">
        <v>5.6799999999999996E-2</v>
      </c>
      <c r="K2" s="81"/>
      <c r="L2" s="81"/>
    </row>
    <row r="3" spans="1:12" ht="16.05" customHeight="1">
      <c r="A3" s="81">
        <v>1928</v>
      </c>
      <c r="B3" s="81">
        <v>24.35</v>
      </c>
      <c r="C3" s="85">
        <f t="shared" si="0"/>
        <v>1.04705</v>
      </c>
      <c r="D3" s="83">
        <f t="shared" ref="D3:D31" si="1">((B3+C3)-B2)/B2</f>
        <v>0.43811155152887882</v>
      </c>
      <c r="E3" s="75">
        <v>4.2999999999999997E-2</v>
      </c>
      <c r="F3" s="82">
        <v>3.4500000000000003E-2</v>
      </c>
      <c r="G3" s="75">
        <f t="shared" ref="G3:G34" si="2">((F2*(1-(1+F3)^(-10))/F3+1/(1+F3)^10)-1)+F2</f>
        <v>8.354708589799302E-3</v>
      </c>
      <c r="H3" s="82">
        <v>4.4600000000000001E-2</v>
      </c>
      <c r="I3" s="75">
        <f t="shared" ref="I3:I34" si="3">((H2*(1-(1+H3)^(-10))/H3+1/(1+H3)^10)-1)+H2</f>
        <v>6.4242267202679934E-2</v>
      </c>
      <c r="J3" s="82">
        <v>5.3200000000000004E-2</v>
      </c>
      <c r="K3" s="75">
        <f t="shared" ref="K3:K34" si="4">((J2*(1-(1+J3)^(-10))/J3+1/(1+J3)^10)-1)+J2</f>
        <v>8.4171277635793934E-2</v>
      </c>
      <c r="L3" s="75">
        <v>-3.7320630655187537E-2</v>
      </c>
    </row>
    <row r="4" spans="1:12" ht="16.05" customHeight="1">
      <c r="A4" s="81">
        <v>1929</v>
      </c>
      <c r="B4" s="81">
        <v>21.45</v>
      </c>
      <c r="C4" s="85">
        <f t="shared" si="0"/>
        <v>0.87944999999999995</v>
      </c>
      <c r="D4" s="83">
        <f t="shared" si="1"/>
        <v>-8.2979466119096651E-2</v>
      </c>
      <c r="E4" s="75">
        <v>4.1000000000000002E-2</v>
      </c>
      <c r="F4" s="82">
        <v>3.3599999999999998E-2</v>
      </c>
      <c r="G4" s="75">
        <f t="shared" si="2"/>
        <v>4.2038041563204259E-2</v>
      </c>
      <c r="H4" s="82">
        <v>4.6100000000000002E-2</v>
      </c>
      <c r="I4" s="75">
        <f t="shared" si="3"/>
        <v>3.279485596639467E-2</v>
      </c>
      <c r="J4" s="82">
        <v>5.5999999999999994E-2</v>
      </c>
      <c r="K4" s="75">
        <f t="shared" si="4"/>
        <v>3.2195514702324381E-2</v>
      </c>
      <c r="L4" s="75">
        <v>1.4910639283360227E-2</v>
      </c>
    </row>
    <row r="5" spans="1:12" ht="16.05" customHeight="1">
      <c r="A5" s="81">
        <v>1930</v>
      </c>
      <c r="B5" s="81">
        <v>15.34</v>
      </c>
      <c r="C5" s="85">
        <f t="shared" si="0"/>
        <v>0.72097999999999995</v>
      </c>
      <c r="D5" s="83">
        <f t="shared" si="1"/>
        <v>-0.25123636363636359</v>
      </c>
      <c r="E5" s="75">
        <v>4.7E-2</v>
      </c>
      <c r="F5" s="82">
        <v>3.2199999999999999E-2</v>
      </c>
      <c r="G5" s="75">
        <f t="shared" si="2"/>
        <v>4.5409314348970366E-2</v>
      </c>
      <c r="H5" s="82">
        <v>4.6699999999999998E-2</v>
      </c>
      <c r="I5" s="75">
        <f t="shared" si="3"/>
        <v>4.1391804160856499E-2</v>
      </c>
      <c r="J5" s="82">
        <v>5.9500000000000004E-2</v>
      </c>
      <c r="K5" s="75">
        <f t="shared" si="4"/>
        <v>3.0178562399040432E-2</v>
      </c>
      <c r="L5" s="75">
        <v>-2.0568074817057913E-2</v>
      </c>
    </row>
    <row r="6" spans="1:12" ht="16.05" customHeight="1">
      <c r="A6" s="81">
        <v>1931</v>
      </c>
      <c r="B6" s="81">
        <v>8.1199999999999992</v>
      </c>
      <c r="C6" s="85">
        <f t="shared" si="0"/>
        <v>0.49531999999999993</v>
      </c>
      <c r="D6" s="83">
        <f t="shared" si="1"/>
        <v>-0.43837548891786188</v>
      </c>
      <c r="E6" s="75">
        <v>6.0999999999999999E-2</v>
      </c>
      <c r="F6" s="82">
        <v>3.9300000000000002E-2</v>
      </c>
      <c r="G6" s="75">
        <f t="shared" si="2"/>
        <v>-2.5588559619422531E-2</v>
      </c>
      <c r="H6" s="82">
        <v>4.5199999999999997E-2</v>
      </c>
      <c r="I6" s="75">
        <f t="shared" si="3"/>
        <v>5.8557414353302785E-2</v>
      </c>
      <c r="J6" s="82">
        <v>6.7099999999999993E-2</v>
      </c>
      <c r="K6" s="75">
        <f t="shared" si="4"/>
        <v>5.3978094648238287E-3</v>
      </c>
      <c r="L6" s="75">
        <v>-4.2999992762481454E-2</v>
      </c>
    </row>
    <row r="7" spans="1:12" ht="16.05" customHeight="1">
      <c r="A7" s="81">
        <v>1932</v>
      </c>
      <c r="B7" s="81">
        <v>6.92</v>
      </c>
      <c r="C7" s="85">
        <f t="shared" si="0"/>
        <v>0.49823999999999996</v>
      </c>
      <c r="D7" s="83">
        <f t="shared" si="1"/>
        <v>-8.642364532019696E-2</v>
      </c>
      <c r="E7" s="75">
        <v>7.1999999999999995E-2</v>
      </c>
      <c r="F7" s="82">
        <v>3.3500000000000002E-2</v>
      </c>
      <c r="G7" s="75">
        <f t="shared" si="2"/>
        <v>8.7903069904773257E-2</v>
      </c>
      <c r="H7" s="82">
        <v>5.3200000000000004E-2</v>
      </c>
      <c r="I7" s="75">
        <f t="shared" si="3"/>
        <v>-1.5625061412875695E-2</v>
      </c>
      <c r="J7" s="82">
        <v>0.1042</v>
      </c>
      <c r="K7" s="75">
        <f t="shared" si="4"/>
        <v>-0.15680775082667592</v>
      </c>
      <c r="L7" s="75">
        <v>-8.1504821861144605E-2</v>
      </c>
    </row>
    <row r="8" spans="1:12" ht="16.05" customHeight="1">
      <c r="A8" s="81">
        <v>1933</v>
      </c>
      <c r="B8" s="81">
        <v>9.9700000000000006</v>
      </c>
      <c r="C8" s="85">
        <f t="shared" si="0"/>
        <v>0.40877000000000002</v>
      </c>
      <c r="D8" s="83">
        <f t="shared" si="1"/>
        <v>0.49982225433526029</v>
      </c>
      <c r="E8" s="75">
        <v>4.1000000000000002E-2</v>
      </c>
      <c r="F8" s="82">
        <v>3.5299999999999998E-2</v>
      </c>
      <c r="G8" s="75">
        <f t="shared" si="2"/>
        <v>1.8552720891857361E-2</v>
      </c>
      <c r="H8" s="82">
        <v>4.5899999999999996E-2</v>
      </c>
      <c r="I8" s="75">
        <f t="shared" si="3"/>
        <v>0.11070808430446419</v>
      </c>
      <c r="J8" s="82">
        <v>8.4199999999999997E-2</v>
      </c>
      <c r="K8" s="75">
        <f t="shared" si="4"/>
        <v>0.23589601675740196</v>
      </c>
      <c r="L8" s="75">
        <v>-0.10466427716260551</v>
      </c>
    </row>
    <row r="9" spans="1:12" ht="16.05" customHeight="1">
      <c r="A9" s="81">
        <v>1934</v>
      </c>
      <c r="B9" s="81">
        <v>9.5</v>
      </c>
      <c r="C9" s="85">
        <f t="shared" si="0"/>
        <v>0.35149999999999998</v>
      </c>
      <c r="D9" s="83">
        <f t="shared" si="1"/>
        <v>-1.1885656970912831E-2</v>
      </c>
      <c r="E9" s="75">
        <v>3.6999999999999998E-2</v>
      </c>
      <c r="F9" s="82">
        <v>3.0099999999999998E-2</v>
      </c>
      <c r="G9" s="75">
        <f t="shared" si="2"/>
        <v>7.9634426179656104E-2</v>
      </c>
      <c r="H9" s="82">
        <v>4.4999999999999998E-2</v>
      </c>
      <c r="I9" s="75">
        <f t="shared" si="3"/>
        <v>5.3021446359399149E-2</v>
      </c>
      <c r="J9" s="82">
        <v>7.7499999999999999E-2</v>
      </c>
      <c r="K9" s="75">
        <f t="shared" si="4"/>
        <v>0.1296689369754826</v>
      </c>
      <c r="L9" s="75">
        <v>-3.8119480144119811E-2</v>
      </c>
    </row>
    <row r="10" spans="1:12" ht="16.05" customHeight="1">
      <c r="A10" s="81">
        <v>1935</v>
      </c>
      <c r="B10" s="81">
        <v>13.43</v>
      </c>
      <c r="C10" s="85">
        <f t="shared" si="0"/>
        <v>0.51034000000000002</v>
      </c>
      <c r="D10" s="83">
        <f t="shared" si="1"/>
        <v>0.4674042105263157</v>
      </c>
      <c r="E10" s="75">
        <v>3.7999999999999999E-2</v>
      </c>
      <c r="F10" s="82">
        <v>2.8400000000000002E-2</v>
      </c>
      <c r="G10" s="75">
        <f t="shared" si="2"/>
        <v>4.4720477296566127E-2</v>
      </c>
      <c r="H10" s="82">
        <v>3.8100000000000002E-2</v>
      </c>
      <c r="I10" s="75">
        <f t="shared" si="3"/>
        <v>0.10149829894135538</v>
      </c>
      <c r="J10" s="82">
        <v>6.2300000000000001E-2</v>
      </c>
      <c r="K10" s="75">
        <f t="shared" si="4"/>
        <v>0.18816429268482648</v>
      </c>
      <c r="L10" s="75">
        <v>2.9062072752155554E-2</v>
      </c>
    </row>
    <row r="11" spans="1:12" ht="16.05" customHeight="1">
      <c r="A11" s="81">
        <v>1936</v>
      </c>
      <c r="B11" s="81">
        <v>17.18</v>
      </c>
      <c r="C11" s="85">
        <v>0.54</v>
      </c>
      <c r="D11" s="83">
        <f t="shared" si="1"/>
        <v>0.31943410275502598</v>
      </c>
      <c r="E11" s="75">
        <f>C11/B11</f>
        <v>3.1431897555296857E-2</v>
      </c>
      <c r="F11" s="82">
        <v>2.5899999999999999E-2</v>
      </c>
      <c r="G11" s="75">
        <f t="shared" si="2"/>
        <v>5.0178754045450601E-2</v>
      </c>
      <c r="H11" s="82">
        <v>3.44E-2</v>
      </c>
      <c r="I11" s="75">
        <f t="shared" si="3"/>
        <v>6.896470928924045E-2</v>
      </c>
      <c r="J11" s="82">
        <v>5.2999999999999999E-2</v>
      </c>
      <c r="K11" s="75">
        <f t="shared" si="4"/>
        <v>0.1330773186567917</v>
      </c>
      <c r="L11" s="75">
        <v>9.7658280630269045E-2</v>
      </c>
    </row>
    <row r="12" spans="1:12" ht="16.05" customHeight="1">
      <c r="A12" s="81">
        <v>1937</v>
      </c>
      <c r="B12" s="81">
        <v>10.55</v>
      </c>
      <c r="C12" s="85">
        <f t="shared" ref="C12:C31" si="5">E12*B12</f>
        <v>0.55915000000000004</v>
      </c>
      <c r="D12" s="83">
        <f t="shared" si="1"/>
        <v>-0.35336728754365532</v>
      </c>
      <c r="E12" s="75">
        <v>5.2999999999999999E-2</v>
      </c>
      <c r="F12" s="82">
        <v>2.7300000000000001E-2</v>
      </c>
      <c r="G12" s="75">
        <f t="shared" si="2"/>
        <v>1.379146059646038E-2</v>
      </c>
      <c r="H12" s="82">
        <v>3.1E-2</v>
      </c>
      <c r="I12" s="75">
        <f t="shared" si="3"/>
        <v>6.3255237498925046E-2</v>
      </c>
      <c r="J12" s="82">
        <v>4.53E-2</v>
      </c>
      <c r="K12" s="75">
        <f t="shared" si="4"/>
        <v>0.11383815871922703</v>
      </c>
      <c r="L12" s="75">
        <v>3.218606694564885E-2</v>
      </c>
    </row>
    <row r="13" spans="1:12" ht="16.05" customHeight="1">
      <c r="A13" s="81">
        <v>1938</v>
      </c>
      <c r="B13" s="81">
        <v>13.14</v>
      </c>
      <c r="C13" s="85">
        <f t="shared" si="5"/>
        <v>0.49931999999999999</v>
      </c>
      <c r="D13" s="83">
        <f t="shared" si="1"/>
        <v>0.29282654028436023</v>
      </c>
      <c r="E13" s="75">
        <v>3.7999999999999999E-2</v>
      </c>
      <c r="F13" s="82">
        <v>2.5600000000000001E-2</v>
      </c>
      <c r="G13" s="75">
        <f t="shared" si="2"/>
        <v>4.2132485322046068E-2</v>
      </c>
      <c r="H13" s="82">
        <v>3.2099999999999997E-2</v>
      </c>
      <c r="I13" s="75">
        <f t="shared" si="3"/>
        <v>2.1716541759769864E-2</v>
      </c>
      <c r="J13" s="82">
        <v>5.7300000000000004E-2</v>
      </c>
      <c r="K13" s="75">
        <f t="shared" si="4"/>
        <v>-4.4161916839982614E-2</v>
      </c>
      <c r="L13" s="75">
        <v>2.563398183644594E-2</v>
      </c>
    </row>
    <row r="14" spans="1:12" ht="16.05" customHeight="1">
      <c r="A14" s="81">
        <v>1939</v>
      </c>
      <c r="B14" s="81">
        <v>12.46</v>
      </c>
      <c r="C14" s="85">
        <f t="shared" si="5"/>
        <v>0.53578000000000003</v>
      </c>
      <c r="D14" s="83">
        <f t="shared" si="1"/>
        <v>-1.0975646879756384E-2</v>
      </c>
      <c r="E14" s="75">
        <v>4.2999999999999997E-2</v>
      </c>
      <c r="F14" s="82">
        <v>2.35E-2</v>
      </c>
      <c r="G14" s="75">
        <f t="shared" si="2"/>
        <v>4.4122613942060671E-2</v>
      </c>
      <c r="H14" s="82">
        <v>3.0800000000000001E-2</v>
      </c>
      <c r="I14" s="75">
        <f t="shared" si="3"/>
        <v>4.3144126500957093E-2</v>
      </c>
      <c r="J14" s="82">
        <v>5.2699999999999997E-2</v>
      </c>
      <c r="K14" s="75">
        <f t="shared" si="4"/>
        <v>9.2358817136874202E-2</v>
      </c>
      <c r="L14" s="75">
        <v>-8.7369579068460324E-3</v>
      </c>
    </row>
    <row r="15" spans="1:12" ht="16.05" customHeight="1">
      <c r="A15" s="81">
        <v>1940</v>
      </c>
      <c r="B15" s="81">
        <v>10.58</v>
      </c>
      <c r="C15" s="85">
        <f t="shared" si="5"/>
        <v>0.55015999999999998</v>
      </c>
      <c r="D15" s="83">
        <f t="shared" si="1"/>
        <v>-0.10672873194221515</v>
      </c>
      <c r="E15" s="75">
        <v>5.1999999999999998E-2</v>
      </c>
      <c r="F15" s="82">
        <v>2.01E-2</v>
      </c>
      <c r="G15" s="75">
        <f t="shared" si="2"/>
        <v>5.4024815962845509E-2</v>
      </c>
      <c r="H15" s="82">
        <v>2.9399999999999999E-2</v>
      </c>
      <c r="I15" s="75">
        <f t="shared" si="3"/>
        <v>4.2778935128661218E-2</v>
      </c>
      <c r="J15" s="82">
        <v>4.9200000000000001E-2</v>
      </c>
      <c r="K15" s="75">
        <f t="shared" si="4"/>
        <v>7.9831377653461405E-2</v>
      </c>
      <c r="L15" s="75">
        <v>-1.3016038781753836E-2</v>
      </c>
    </row>
    <row r="16" spans="1:12" ht="16.05" customHeight="1">
      <c r="A16" s="81">
        <v>1941</v>
      </c>
      <c r="B16" s="81">
        <v>8.69</v>
      </c>
      <c r="C16" s="85">
        <f t="shared" si="5"/>
        <v>0.53877999999999993</v>
      </c>
      <c r="D16" s="83">
        <f t="shared" si="1"/>
        <v>-0.12771455576559559</v>
      </c>
      <c r="E16" s="75">
        <v>6.2E-2</v>
      </c>
      <c r="F16" s="82">
        <v>2.47E-2</v>
      </c>
      <c r="G16" s="75">
        <f t="shared" si="2"/>
        <v>-2.0221975848580105E-2</v>
      </c>
      <c r="H16" s="82">
        <v>2.7099999999999999E-2</v>
      </c>
      <c r="I16" s="75">
        <f t="shared" si="3"/>
        <v>4.931305690287914E-2</v>
      </c>
      <c r="J16" s="82">
        <v>4.4500000000000005E-2</v>
      </c>
      <c r="K16" s="75">
        <f t="shared" si="4"/>
        <v>8.6481371775829569E-2</v>
      </c>
      <c r="L16" s="75">
        <v>3.3066026593693287E-2</v>
      </c>
    </row>
    <row r="17" spans="1:12" ht="16.05" customHeight="1">
      <c r="A17" s="81">
        <v>1942</v>
      </c>
      <c r="B17" s="81">
        <v>9.77</v>
      </c>
      <c r="C17" s="85">
        <f t="shared" si="5"/>
        <v>0.58619999999999994</v>
      </c>
      <c r="D17" s="83">
        <f t="shared" si="1"/>
        <v>0.19173762945914843</v>
      </c>
      <c r="E17" s="75">
        <v>0.06</v>
      </c>
      <c r="F17" s="82">
        <v>2.4899999999999999E-2</v>
      </c>
      <c r="G17" s="75">
        <f t="shared" si="2"/>
        <v>2.2948682374484164E-2</v>
      </c>
      <c r="H17" s="82">
        <v>2.7999999999999997E-2</v>
      </c>
      <c r="I17" s="75">
        <f t="shared" si="3"/>
        <v>1.9343859466896082E-2</v>
      </c>
      <c r="J17" s="82">
        <v>4.3799999999999999E-2</v>
      </c>
      <c r="K17" s="75">
        <f t="shared" si="4"/>
        <v>5.0071728572759232E-2</v>
      </c>
      <c r="L17" s="75">
        <v>-8.3846170362722128E-2</v>
      </c>
    </row>
    <row r="18" spans="1:12" ht="16.05" customHeight="1">
      <c r="A18" s="81">
        <v>1943</v>
      </c>
      <c r="B18" s="81">
        <v>11.67</v>
      </c>
      <c r="C18" s="85">
        <f t="shared" si="5"/>
        <v>0.54849000000000003</v>
      </c>
      <c r="D18" s="83">
        <f t="shared" si="1"/>
        <v>0.25061310133060388</v>
      </c>
      <c r="E18" s="75">
        <v>4.7E-2</v>
      </c>
      <c r="F18" s="82">
        <v>2.4899999999999999E-2</v>
      </c>
      <c r="G18" s="75">
        <f t="shared" si="2"/>
        <v>2.4899999999999999E-2</v>
      </c>
      <c r="H18" s="82">
        <v>2.81E-2</v>
      </c>
      <c r="I18" s="75">
        <f t="shared" si="3"/>
        <v>2.7138648440788254E-2</v>
      </c>
      <c r="J18" s="82">
        <v>4.2800000000000005E-2</v>
      </c>
      <c r="K18" s="75">
        <f t="shared" si="4"/>
        <v>5.1799010426587015E-2</v>
      </c>
      <c r="L18" s="75">
        <v>3.3330352361186755E-2</v>
      </c>
    </row>
    <row r="19" spans="1:12" ht="16.05" customHeight="1">
      <c r="A19" s="81">
        <v>1944</v>
      </c>
      <c r="B19" s="81">
        <v>13.28</v>
      </c>
      <c r="C19" s="85">
        <f t="shared" si="5"/>
        <v>0.61087999999999998</v>
      </c>
      <c r="D19" s="83">
        <f t="shared" si="1"/>
        <v>0.19030676949443009</v>
      </c>
      <c r="E19" s="75">
        <v>4.5999999999999999E-2</v>
      </c>
      <c r="F19" s="82">
        <v>2.4799999999999999E-2</v>
      </c>
      <c r="G19" s="75">
        <f t="shared" si="2"/>
        <v>2.5776111579070303E-2</v>
      </c>
      <c r="H19" s="82">
        <v>2.7400000000000001E-2</v>
      </c>
      <c r="I19" s="75">
        <f t="shared" si="3"/>
        <v>3.4151160322936289E-2</v>
      </c>
      <c r="J19" s="82">
        <v>3.8199999999999998E-2</v>
      </c>
      <c r="K19" s="75">
        <f t="shared" si="4"/>
        <v>8.044670060105924E-2</v>
      </c>
      <c r="L19" s="75">
        <v>0.11446269728687652</v>
      </c>
    </row>
    <row r="20" spans="1:12" ht="16.05" customHeight="1">
      <c r="A20" s="81">
        <v>1945</v>
      </c>
      <c r="B20" s="81">
        <v>17.36</v>
      </c>
      <c r="C20" s="85">
        <f t="shared" si="5"/>
        <v>0.67703999999999998</v>
      </c>
      <c r="D20" s="83">
        <f t="shared" si="1"/>
        <v>0.35821084337349413</v>
      </c>
      <c r="E20" s="75">
        <v>3.9E-2</v>
      </c>
      <c r="F20" s="82">
        <v>2.3300000000000001E-2</v>
      </c>
      <c r="G20" s="75">
        <f t="shared" si="2"/>
        <v>3.8044173419237229E-2</v>
      </c>
      <c r="H20" s="82">
        <v>2.7000000000000003E-2</v>
      </c>
      <c r="I20" s="75">
        <f t="shared" si="3"/>
        <v>3.0864921189784809E-2</v>
      </c>
      <c r="J20" s="82">
        <v>3.49E-2</v>
      </c>
      <c r="K20" s="75">
        <f t="shared" si="4"/>
        <v>6.5658635882561697E-2</v>
      </c>
      <c r="L20" s="75">
        <v>0.16584229425872987</v>
      </c>
    </row>
    <row r="21" spans="1:12" ht="16.05" customHeight="1">
      <c r="A21" s="81">
        <v>1946</v>
      </c>
      <c r="B21" s="81">
        <v>15.3</v>
      </c>
      <c r="C21" s="85">
        <f t="shared" si="5"/>
        <v>0.59670000000000001</v>
      </c>
      <c r="D21" s="83">
        <f t="shared" si="1"/>
        <v>-8.4291474654377793E-2</v>
      </c>
      <c r="E21" s="75">
        <v>3.9E-2</v>
      </c>
      <c r="F21" s="82">
        <v>2.24E-2</v>
      </c>
      <c r="G21" s="75">
        <f t="shared" si="2"/>
        <v>3.1283745375695685E-2</v>
      </c>
      <c r="H21" s="82">
        <v>2.6099999999999998E-2</v>
      </c>
      <c r="I21" s="75">
        <f t="shared" si="3"/>
        <v>3.4832273065963905E-2</v>
      </c>
      <c r="J21" s="82">
        <v>3.1E-2</v>
      </c>
      <c r="K21" s="75">
        <f t="shared" si="4"/>
        <v>6.799865477817886E-2</v>
      </c>
      <c r="L21" s="75">
        <v>0.11777375604134543</v>
      </c>
    </row>
    <row r="22" spans="1:12" ht="16.05" customHeight="1">
      <c r="A22" s="81">
        <v>1947</v>
      </c>
      <c r="B22" s="81">
        <v>15.3</v>
      </c>
      <c r="C22" s="85">
        <f t="shared" si="5"/>
        <v>0.79559999999999997</v>
      </c>
      <c r="D22" s="83">
        <f t="shared" si="1"/>
        <v>5.2000000000000018E-2</v>
      </c>
      <c r="E22" s="75">
        <v>5.1999999999999998E-2</v>
      </c>
      <c r="F22" s="82">
        <v>2.3900000000000001E-2</v>
      </c>
      <c r="G22" s="75">
        <f t="shared" si="2"/>
        <v>9.1969680628322358E-3</v>
      </c>
      <c r="H22" s="82">
        <v>2.6099999999999998E-2</v>
      </c>
      <c r="I22" s="75">
        <f t="shared" si="3"/>
        <v>2.6099999999999998E-2</v>
      </c>
      <c r="J22" s="82">
        <v>3.1699999999999999E-2</v>
      </c>
      <c r="K22" s="75">
        <f t="shared" si="4"/>
        <v>2.5080329773195936E-2</v>
      </c>
      <c r="L22" s="75">
        <v>0.24101672397677776</v>
      </c>
    </row>
    <row r="23" spans="1:12" ht="16.05" customHeight="1">
      <c r="A23" s="81">
        <v>1948</v>
      </c>
      <c r="B23" s="81">
        <v>15.2</v>
      </c>
      <c r="C23" s="85">
        <f t="shared" si="5"/>
        <v>0.9728</v>
      </c>
      <c r="D23" s="83">
        <f t="shared" si="1"/>
        <v>5.7045751633986799E-2</v>
      </c>
      <c r="E23" s="75">
        <v>6.4000000000000001E-2</v>
      </c>
      <c r="F23" s="82">
        <v>2.4400000000000002E-2</v>
      </c>
      <c r="G23" s="75">
        <f t="shared" si="2"/>
        <v>1.9510369413175046E-2</v>
      </c>
      <c r="H23" s="82">
        <v>2.86E-2</v>
      </c>
      <c r="I23" s="75">
        <f t="shared" si="3"/>
        <v>4.6213141975309652E-3</v>
      </c>
      <c r="J23" s="82">
        <v>3.5200000000000002E-2</v>
      </c>
      <c r="K23" s="75">
        <f t="shared" si="4"/>
        <v>2.6212022665691934E-3</v>
      </c>
      <c r="L23" s="75">
        <v>0.21263835362429684</v>
      </c>
    </row>
    <row r="24" spans="1:12" ht="16.05" customHeight="1">
      <c r="A24" s="81">
        <v>1949</v>
      </c>
      <c r="B24" s="81">
        <v>16.79</v>
      </c>
      <c r="C24" s="85">
        <f t="shared" si="5"/>
        <v>1.1920899999999999</v>
      </c>
      <c r="D24" s="83">
        <f t="shared" si="1"/>
        <v>0.18303223684210529</v>
      </c>
      <c r="E24" s="75">
        <v>7.0999999999999994E-2</v>
      </c>
      <c r="F24" s="82">
        <v>2.1899999999999999E-2</v>
      </c>
      <c r="G24" s="75">
        <f t="shared" si="2"/>
        <v>4.6634851827973139E-2</v>
      </c>
      <c r="H24" s="82">
        <v>2.7900000000000001E-2</v>
      </c>
      <c r="I24" s="75">
        <f t="shared" si="3"/>
        <v>3.4635648938441663E-2</v>
      </c>
      <c r="J24" s="82">
        <v>3.5299999999999998E-2</v>
      </c>
      <c r="K24" s="75">
        <f t="shared" si="4"/>
        <v>3.4369595605103213E-2</v>
      </c>
      <c r="L24" s="75">
        <v>2.058542944115116E-2</v>
      </c>
    </row>
    <row r="25" spans="1:12" ht="16.05" customHeight="1">
      <c r="A25" s="81">
        <v>1950</v>
      </c>
      <c r="B25" s="81">
        <v>20.43</v>
      </c>
      <c r="C25" s="85">
        <f t="shared" si="5"/>
        <v>1.5322499999999999</v>
      </c>
      <c r="D25" s="83">
        <f t="shared" si="1"/>
        <v>0.30805539011316274</v>
      </c>
      <c r="E25" s="75">
        <v>7.4999999999999997E-2</v>
      </c>
      <c r="F25" s="82">
        <v>2.3900000000000001E-2</v>
      </c>
      <c r="G25" s="75">
        <f t="shared" si="2"/>
        <v>4.2959574171096103E-3</v>
      </c>
      <c r="H25" s="82">
        <v>2.58E-2</v>
      </c>
      <c r="I25" s="75">
        <f t="shared" si="3"/>
        <v>4.6203589000967292E-2</v>
      </c>
      <c r="J25" s="82">
        <v>3.3099999999999997E-2</v>
      </c>
      <c r="K25" s="75">
        <f t="shared" si="4"/>
        <v>5.3773011179658936E-2</v>
      </c>
      <c r="L25" s="75">
        <v>8.9371881572453127E-4</v>
      </c>
    </row>
    <row r="26" spans="1:12" ht="16.05" customHeight="1">
      <c r="A26" s="81">
        <v>1951</v>
      </c>
      <c r="B26" s="81">
        <v>23.77</v>
      </c>
      <c r="C26" s="85">
        <f t="shared" si="5"/>
        <v>1.4975099999999999</v>
      </c>
      <c r="D26" s="83">
        <f t="shared" si="1"/>
        <v>0.23678463044542331</v>
      </c>
      <c r="E26" s="75">
        <v>6.3E-2</v>
      </c>
      <c r="F26" s="82">
        <v>2.7E-2</v>
      </c>
      <c r="G26" s="75">
        <f t="shared" si="2"/>
        <v>-2.9531392208319886E-3</v>
      </c>
      <c r="H26" s="82">
        <v>2.6699999999999998E-2</v>
      </c>
      <c r="I26" s="75">
        <f t="shared" si="3"/>
        <v>1.7991888160641522E-2</v>
      </c>
      <c r="J26" s="82">
        <v>3.2000000000000001E-2</v>
      </c>
      <c r="K26" s="75">
        <f t="shared" si="4"/>
        <v>4.2388173056720914E-2</v>
      </c>
      <c r="L26" s="75">
        <v>3.6403899622157176E-2</v>
      </c>
    </row>
    <row r="27" spans="1:12" ht="16.05" customHeight="1">
      <c r="A27" s="81">
        <v>1952</v>
      </c>
      <c r="B27" s="81">
        <v>26.57</v>
      </c>
      <c r="C27" s="85">
        <f t="shared" si="5"/>
        <v>1.5144900000000001</v>
      </c>
      <c r="D27" s="83">
        <f t="shared" si="1"/>
        <v>0.18150988641144297</v>
      </c>
      <c r="E27" s="75">
        <v>5.7000000000000002E-2</v>
      </c>
      <c r="F27" s="82">
        <v>2.75E-2</v>
      </c>
      <c r="G27" s="75">
        <f t="shared" si="2"/>
        <v>2.2679961918305656E-2</v>
      </c>
      <c r="H27" s="82">
        <v>3.0099999999999998E-2</v>
      </c>
      <c r="I27" s="75">
        <f t="shared" si="3"/>
        <v>-2.2878940405443617E-3</v>
      </c>
      <c r="J27" s="82">
        <v>3.61E-2</v>
      </c>
      <c r="K27" s="75">
        <f t="shared" si="4"/>
        <v>-1.9098091301369691E-3</v>
      </c>
      <c r="L27" s="75">
        <v>6.0476642095388611E-2</v>
      </c>
    </row>
    <row r="28" spans="1:12" ht="16.05" customHeight="1">
      <c r="A28" s="81">
        <v>1953</v>
      </c>
      <c r="B28" s="81">
        <v>24.81</v>
      </c>
      <c r="C28" s="85">
        <f t="shared" si="5"/>
        <v>1.4389799999999999</v>
      </c>
      <c r="D28" s="83">
        <f t="shared" si="1"/>
        <v>-1.2082047421904432E-2</v>
      </c>
      <c r="E28" s="75">
        <v>5.8000000000000003E-2</v>
      </c>
      <c r="F28" s="82">
        <v>2.5899999999999999E-2</v>
      </c>
      <c r="G28" s="75">
        <f t="shared" si="2"/>
        <v>4.1438402589088513E-2</v>
      </c>
      <c r="H28" s="82">
        <v>2.9700000000000001E-2</v>
      </c>
      <c r="I28" s="75">
        <f t="shared" si="3"/>
        <v>3.3517311049082718E-2</v>
      </c>
      <c r="J28" s="82">
        <v>3.5099999999999999E-2</v>
      </c>
      <c r="K28" s="75">
        <f t="shared" si="4"/>
        <v>4.4412415047400768E-2</v>
      </c>
      <c r="L28" s="75">
        <v>4.4066304183902893E-2</v>
      </c>
    </row>
    <row r="29" spans="1:12" ht="16.05" customHeight="1">
      <c r="A29" s="81">
        <v>1954</v>
      </c>
      <c r="B29" s="81">
        <v>35.979999999999997</v>
      </c>
      <c r="C29" s="85">
        <f t="shared" si="5"/>
        <v>1.8709599999999997</v>
      </c>
      <c r="D29" s="83">
        <f t="shared" si="1"/>
        <v>0.5256332124143489</v>
      </c>
      <c r="E29" s="75">
        <v>5.1999999999999998E-2</v>
      </c>
      <c r="F29" s="82">
        <v>2.5100000000000001E-2</v>
      </c>
      <c r="G29" s="75">
        <f t="shared" si="2"/>
        <v>3.2898034558095555E-2</v>
      </c>
      <c r="H29" s="82">
        <v>3.1300000000000001E-2</v>
      </c>
      <c r="I29" s="75">
        <f t="shared" si="3"/>
        <v>1.6141779106714601E-2</v>
      </c>
      <c r="J29" s="82">
        <v>3.7400000000000003E-2</v>
      </c>
      <c r="K29" s="75">
        <f t="shared" si="4"/>
        <v>1.6201123818443276E-2</v>
      </c>
      <c r="L29" s="75">
        <v>0.11516624666555342</v>
      </c>
    </row>
    <row r="30" spans="1:12" ht="16.05" customHeight="1">
      <c r="A30" s="81">
        <v>1955</v>
      </c>
      <c r="B30" s="81">
        <v>45.48</v>
      </c>
      <c r="C30" s="85">
        <f t="shared" si="5"/>
        <v>2.2285200000000001</v>
      </c>
      <c r="D30" s="83">
        <f t="shared" si="1"/>
        <v>0.32597331851028361</v>
      </c>
      <c r="E30" s="75">
        <v>4.9000000000000002E-2</v>
      </c>
      <c r="F30" s="82">
        <v>2.9600000000000001E-2</v>
      </c>
      <c r="G30" s="75">
        <f t="shared" si="2"/>
        <v>-1.3364391288618781E-2</v>
      </c>
      <c r="H30" s="82">
        <v>2.8999999999999998E-2</v>
      </c>
      <c r="I30" s="75">
        <f t="shared" si="3"/>
        <v>5.1019973661012748E-2</v>
      </c>
      <c r="J30" s="82">
        <v>3.4500000000000003E-2</v>
      </c>
      <c r="K30" s="75">
        <f t="shared" si="4"/>
        <v>6.1579051817707856E-2</v>
      </c>
      <c r="L30" s="75">
        <v>9.2270580517745948E-3</v>
      </c>
    </row>
    <row r="31" spans="1:12" ht="16.05" customHeight="1">
      <c r="A31" s="81">
        <v>1956</v>
      </c>
      <c r="B31" s="81">
        <v>46.67</v>
      </c>
      <c r="C31" s="85">
        <f t="shared" si="5"/>
        <v>2.1934900000000002</v>
      </c>
      <c r="D31" s="83">
        <f t="shared" si="1"/>
        <v>7.4395118733509277E-2</v>
      </c>
      <c r="E31" s="75">
        <v>4.7E-2</v>
      </c>
      <c r="F31" s="82">
        <v>3.5900000000000001E-2</v>
      </c>
      <c r="G31" s="75">
        <f t="shared" si="2"/>
        <v>-2.2557738173154165E-2</v>
      </c>
      <c r="H31" s="82">
        <v>3.15E-2</v>
      </c>
      <c r="I31" s="75">
        <f t="shared" si="3"/>
        <v>7.8368165305447712E-3</v>
      </c>
      <c r="J31" s="82">
        <v>3.6200000000000003E-2</v>
      </c>
      <c r="K31" s="75">
        <f t="shared" si="4"/>
        <v>2.044690004344954E-2</v>
      </c>
      <c r="L31" s="75">
        <v>0</v>
      </c>
    </row>
    <row r="32" spans="1:12" ht="16.05" customHeight="1">
      <c r="A32" s="81">
        <v>1957</v>
      </c>
      <c r="B32" s="81">
        <v>39.99</v>
      </c>
      <c r="C32" s="85">
        <v>1.79955</v>
      </c>
      <c r="D32" s="83">
        <v>-0.10457360188557951</v>
      </c>
      <c r="E32" s="75">
        <v>4.4999999999999998E-2</v>
      </c>
      <c r="F32" s="82">
        <v>3.2099999999999997E-2</v>
      </c>
      <c r="G32" s="75">
        <f t="shared" si="2"/>
        <v>6.7970128466249904E-2</v>
      </c>
      <c r="H32" s="82">
        <v>3.7499999999999999E-2</v>
      </c>
      <c r="I32" s="75">
        <f t="shared" si="3"/>
        <v>-1.7776723510078835E-2</v>
      </c>
      <c r="J32" s="82">
        <v>4.3700000000000003E-2</v>
      </c>
      <c r="K32" s="75">
        <f t="shared" si="4"/>
        <v>-2.3526541979620903E-2</v>
      </c>
      <c r="L32" s="75">
        <v>9.1426978479813847E-3</v>
      </c>
    </row>
    <row r="33" spans="1:12" ht="16.05" customHeight="1">
      <c r="A33" s="81">
        <v>1958</v>
      </c>
      <c r="B33" s="81">
        <v>55.21</v>
      </c>
      <c r="C33" s="85">
        <f>E33*B33</f>
        <v>2.2636100000000003</v>
      </c>
      <c r="D33" s="83">
        <f t="shared" ref="D33:D64" si="6">((B33+C33)-B32)/B32</f>
        <v>0.43719954988747184</v>
      </c>
      <c r="E33" s="75">
        <v>4.1000000000000002E-2</v>
      </c>
      <c r="F33" s="82">
        <v>3.8600000000000002E-2</v>
      </c>
      <c r="G33" s="75">
        <f t="shared" si="2"/>
        <v>-2.0990181755274694E-2</v>
      </c>
      <c r="H33" s="82">
        <v>3.8100000000000002E-2</v>
      </c>
      <c r="I33" s="75">
        <f t="shared" si="3"/>
        <v>3.2587104439882129E-2</v>
      </c>
      <c r="J33" s="82">
        <v>5.0300000000000004E-2</v>
      </c>
      <c r="K33" s="75">
        <f t="shared" si="4"/>
        <v>-7.1892844025423647E-3</v>
      </c>
      <c r="L33" s="75">
        <v>2.7180282449021931E-2</v>
      </c>
    </row>
    <row r="34" spans="1:12" ht="16.05" customHeight="1">
      <c r="A34" s="81">
        <v>1959</v>
      </c>
      <c r="B34" s="81">
        <v>59.89</v>
      </c>
      <c r="C34" s="85">
        <f>E34*B34</f>
        <v>1.9763700000000002</v>
      </c>
      <c r="D34" s="83">
        <f t="shared" si="6"/>
        <v>0.12056457163557331</v>
      </c>
      <c r="E34" s="75">
        <v>3.3000000000000002E-2</v>
      </c>
      <c r="F34" s="82">
        <v>4.6899999999999997E-2</v>
      </c>
      <c r="G34" s="75">
        <f t="shared" si="2"/>
        <v>-2.6466312591385065E-2</v>
      </c>
      <c r="H34" s="82">
        <v>4.0800000000000003E-2</v>
      </c>
      <c r="I34" s="75">
        <f t="shared" si="3"/>
        <v>1.6287536451366026E-2</v>
      </c>
      <c r="J34" s="82">
        <v>4.8499999999999995E-2</v>
      </c>
      <c r="K34" s="75">
        <f t="shared" si="4"/>
        <v>6.4300928973360261E-2</v>
      </c>
      <c r="L34" s="75">
        <v>6.6154322364195828E-3</v>
      </c>
    </row>
    <row r="35" spans="1:12" ht="16.05" customHeight="1">
      <c r="A35" s="81">
        <v>1960</v>
      </c>
      <c r="B35" s="81">
        <v>58.11</v>
      </c>
      <c r="C35" s="85">
        <v>1.9815510000000001</v>
      </c>
      <c r="D35" s="83">
        <f t="shared" si="6"/>
        <v>3.3653531474370016E-3</v>
      </c>
      <c r="E35" s="75">
        <f t="shared" ref="E35:E66" si="7">C35/B35</f>
        <v>3.4099999999999998E-2</v>
      </c>
      <c r="F35" s="82">
        <v>3.8399999999999997E-2</v>
      </c>
      <c r="G35" s="75">
        <f t="shared" ref="G35:G66" si="8">((F34*(1-(1+F35)^(-10))/F35+1/(1+F35)^10)-1)+F34</f>
        <v>0.11639503690963365</v>
      </c>
      <c r="H35" s="82">
        <v>4.58E-2</v>
      </c>
      <c r="I35" s="75">
        <f t="shared" ref="I35:I66" si="9">((H34*(1-(1+H35)^(-10))/H35+1/(1+H35)^10)-1)+H34</f>
        <v>1.3915704024072828E-3</v>
      </c>
      <c r="J35" s="82">
        <v>5.28E-2</v>
      </c>
      <c r="K35" s="75">
        <f t="shared" ref="K35:K66" si="10">((J34*(1-(1+J35)^(-10))/J35+1/(1+J35)^10)-1)+J34</f>
        <v>1.5743430895022732E-2</v>
      </c>
      <c r="L35" s="75">
        <v>1.0951055527008702E-3</v>
      </c>
    </row>
    <row r="36" spans="1:12" ht="16.05" customHeight="1">
      <c r="A36" s="81">
        <v>1961</v>
      </c>
      <c r="B36" s="81">
        <v>71.55</v>
      </c>
      <c r="C36" s="85">
        <v>2.0391750000000002</v>
      </c>
      <c r="D36" s="83">
        <f t="shared" si="6"/>
        <v>0.26637712958182752</v>
      </c>
      <c r="E36" s="75">
        <f t="shared" si="7"/>
        <v>2.8500000000000004E-2</v>
      </c>
      <c r="F36" s="82">
        <v>4.0599999999999997E-2</v>
      </c>
      <c r="G36" s="75">
        <f t="shared" si="8"/>
        <v>2.0609208076323167E-2</v>
      </c>
      <c r="H36" s="82">
        <v>4.3499999999999997E-2</v>
      </c>
      <c r="I36" s="75">
        <f t="shared" si="9"/>
        <v>6.4134222381996453E-2</v>
      </c>
      <c r="J36" s="82">
        <v>5.0999999999999997E-2</v>
      </c>
      <c r="K36" s="75">
        <f t="shared" si="10"/>
        <v>6.6631871633034342E-2</v>
      </c>
      <c r="L36" s="75">
        <v>7.6586744032887122E-3</v>
      </c>
    </row>
    <row r="37" spans="1:12" ht="16.05" customHeight="1">
      <c r="A37" s="81">
        <v>1962</v>
      </c>
      <c r="B37" s="81">
        <v>63.1</v>
      </c>
      <c r="C37" s="85">
        <v>2.1454</v>
      </c>
      <c r="D37" s="83">
        <f t="shared" si="6"/>
        <v>-8.8114605171208851E-2</v>
      </c>
      <c r="E37" s="75">
        <f t="shared" si="7"/>
        <v>3.3999999999999996E-2</v>
      </c>
      <c r="F37" s="82">
        <v>3.8600000000000002E-2</v>
      </c>
      <c r="G37" s="75">
        <f t="shared" si="8"/>
        <v>5.693544054008462E-2</v>
      </c>
      <c r="H37" s="82">
        <v>4.4199999999999996E-2</v>
      </c>
      <c r="I37" s="75">
        <f t="shared" si="9"/>
        <v>3.7939245798155677E-2</v>
      </c>
      <c r="J37" s="82">
        <v>5.0999999999999997E-2</v>
      </c>
      <c r="K37" s="75">
        <f t="shared" si="10"/>
        <v>5.0999999999999997E-2</v>
      </c>
      <c r="L37" s="75">
        <v>9.7716517211834386E-3</v>
      </c>
    </row>
    <row r="38" spans="1:12" ht="16.05" customHeight="1">
      <c r="A38" s="81">
        <v>1963</v>
      </c>
      <c r="B38" s="81">
        <v>75.02</v>
      </c>
      <c r="C38" s="85">
        <v>2.3481260000000002</v>
      </c>
      <c r="D38" s="83">
        <f t="shared" si="6"/>
        <v>0.22611927099841503</v>
      </c>
      <c r="E38" s="75">
        <f t="shared" si="7"/>
        <v>3.1300000000000001E-2</v>
      </c>
      <c r="F38" s="82">
        <v>4.1300000000000003E-2</v>
      </c>
      <c r="G38" s="75">
        <f t="shared" si="8"/>
        <v>1.6841620739546127E-2</v>
      </c>
      <c r="H38" s="82">
        <v>4.24E-2</v>
      </c>
      <c r="I38" s="75">
        <f t="shared" si="9"/>
        <v>5.8626733145309841E-2</v>
      </c>
      <c r="J38" s="82">
        <v>4.9200000000000001E-2</v>
      </c>
      <c r="K38" s="75">
        <f t="shared" si="10"/>
        <v>6.4953279936065755E-2</v>
      </c>
      <c r="L38" s="75">
        <v>3.2259132567571402E-3</v>
      </c>
    </row>
    <row r="39" spans="1:12" ht="16.05" customHeight="1">
      <c r="A39" s="81">
        <v>1964</v>
      </c>
      <c r="B39" s="81">
        <v>84.75</v>
      </c>
      <c r="C39" s="85">
        <v>2.5848749999999998</v>
      </c>
      <c r="D39" s="83">
        <f t="shared" si="6"/>
        <v>0.16415455878432419</v>
      </c>
      <c r="E39" s="75">
        <f t="shared" si="7"/>
        <v>3.0499999999999999E-2</v>
      </c>
      <c r="F39" s="82">
        <v>4.1799999999999997E-2</v>
      </c>
      <c r="G39" s="75">
        <f t="shared" si="8"/>
        <v>3.7280648911540815E-2</v>
      </c>
      <c r="H39" s="82">
        <v>4.3499999999999997E-2</v>
      </c>
      <c r="I39" s="75">
        <f t="shared" si="9"/>
        <v>3.3631458860784454E-2</v>
      </c>
      <c r="J39" s="82">
        <v>4.8499999999999995E-2</v>
      </c>
      <c r="K39" s="75">
        <f t="shared" si="10"/>
        <v>5.4644805711862345E-2</v>
      </c>
      <c r="L39" s="75">
        <v>2.1436503273133845E-2</v>
      </c>
    </row>
    <row r="40" spans="1:12" ht="16.05" customHeight="1">
      <c r="A40" s="81">
        <v>1965</v>
      </c>
      <c r="B40" s="81">
        <v>92.43</v>
      </c>
      <c r="C40" s="85">
        <v>2.8283580000000001</v>
      </c>
      <c r="D40" s="83">
        <f t="shared" si="6"/>
        <v>0.12399242477876107</v>
      </c>
      <c r="E40" s="75">
        <f t="shared" si="7"/>
        <v>3.0599999999999999E-2</v>
      </c>
      <c r="F40" s="82">
        <v>4.6199999999999998E-2</v>
      </c>
      <c r="G40" s="75">
        <f t="shared" si="8"/>
        <v>7.1885509359262342E-3</v>
      </c>
      <c r="H40" s="82">
        <v>4.4400000000000002E-2</v>
      </c>
      <c r="I40" s="75">
        <f t="shared" si="9"/>
        <v>3.6357498175775174E-2</v>
      </c>
      <c r="J40" s="82">
        <v>4.8099999999999997E-2</v>
      </c>
      <c r="K40" s="75">
        <f t="shared" si="10"/>
        <v>5.1617392722850271E-2</v>
      </c>
      <c r="L40" s="75">
        <v>1.2591593946911894E-2</v>
      </c>
    </row>
    <row r="41" spans="1:12" ht="16.05" customHeight="1">
      <c r="A41" s="81">
        <v>1966</v>
      </c>
      <c r="B41" s="81">
        <v>80.33</v>
      </c>
      <c r="C41" s="85">
        <v>2.8838469999999998</v>
      </c>
      <c r="D41" s="83">
        <f t="shared" si="6"/>
        <v>-9.9709542356377856E-2</v>
      </c>
      <c r="E41" s="75">
        <f t="shared" si="7"/>
        <v>3.5900000000000001E-2</v>
      </c>
      <c r="F41" s="82">
        <v>4.8399999999999999E-2</v>
      </c>
      <c r="G41" s="75">
        <f t="shared" si="8"/>
        <v>2.9079409324299622E-2</v>
      </c>
      <c r="H41" s="82">
        <v>4.6799999999999994E-2</v>
      </c>
      <c r="I41" s="75">
        <f t="shared" si="9"/>
        <v>2.5576433994000343E-2</v>
      </c>
      <c r="J41" s="82">
        <v>5.0199999999999995E-2</v>
      </c>
      <c r="K41" s="75">
        <f t="shared" si="10"/>
        <v>3.1900094622538809E-2</v>
      </c>
      <c r="L41" s="75">
        <v>1.658002301182071E-2</v>
      </c>
    </row>
    <row r="42" spans="1:12" ht="16.05" customHeight="1">
      <c r="A42" s="81">
        <v>1967</v>
      </c>
      <c r="B42" s="81">
        <v>96.47</v>
      </c>
      <c r="C42" s="85">
        <v>2.9809230000000002</v>
      </c>
      <c r="D42" s="83">
        <f t="shared" si="6"/>
        <v>0.23802966513133331</v>
      </c>
      <c r="E42" s="75">
        <f t="shared" si="7"/>
        <v>3.0900000000000004E-2</v>
      </c>
      <c r="F42" s="82">
        <v>5.7000000000000002E-2</v>
      </c>
      <c r="G42" s="75">
        <f t="shared" si="8"/>
        <v>-1.5806209932824666E-2</v>
      </c>
      <c r="H42" s="82">
        <v>5.3899999999999997E-2</v>
      </c>
      <c r="I42" s="75">
        <f t="shared" si="9"/>
        <v>-7.0006457686958151E-3</v>
      </c>
      <c r="J42" s="82">
        <v>6.1799999999999994E-2</v>
      </c>
      <c r="K42" s="75">
        <f t="shared" si="10"/>
        <v>-3.4453615975776369E-2</v>
      </c>
      <c r="L42" s="75">
        <v>1.2232822442514779E-2</v>
      </c>
    </row>
    <row r="43" spans="1:12" ht="16.05" customHeight="1">
      <c r="A43" s="81">
        <v>1968</v>
      </c>
      <c r="B43" s="81">
        <v>103.86</v>
      </c>
      <c r="C43" s="85">
        <v>3.0430980000000001</v>
      </c>
      <c r="D43" s="83">
        <f t="shared" si="6"/>
        <v>0.10814862651601535</v>
      </c>
      <c r="E43" s="75">
        <f t="shared" si="7"/>
        <v>2.93E-2</v>
      </c>
      <c r="F43" s="82">
        <v>6.0299999999999999E-2</v>
      </c>
      <c r="G43" s="75">
        <f t="shared" si="8"/>
        <v>3.2746196950768365E-2</v>
      </c>
      <c r="H43" s="82">
        <v>6.1900000000000004E-2</v>
      </c>
      <c r="I43" s="75">
        <f t="shared" si="9"/>
        <v>-4.4542767260931718E-3</v>
      </c>
      <c r="J43" s="82">
        <v>6.93E-2</v>
      </c>
      <c r="K43" s="75">
        <f t="shared" si="10"/>
        <v>8.9522661484468247E-3</v>
      </c>
      <c r="L43" s="75">
        <v>2.3161882062522565E-2</v>
      </c>
    </row>
    <row r="44" spans="1:12" ht="16.05" customHeight="1">
      <c r="A44" s="81">
        <v>1969</v>
      </c>
      <c r="B44" s="81">
        <v>92.06</v>
      </c>
      <c r="C44" s="85">
        <v>3.2405119999999998</v>
      </c>
      <c r="D44" s="83">
        <f t="shared" si="6"/>
        <v>-8.241371076449068E-2</v>
      </c>
      <c r="E44" s="75">
        <f t="shared" si="7"/>
        <v>3.5199999999999995E-2</v>
      </c>
      <c r="F44" s="82">
        <v>7.6499999999999999E-2</v>
      </c>
      <c r="G44" s="75">
        <f t="shared" si="8"/>
        <v>-5.0140493209926106E-2</v>
      </c>
      <c r="H44" s="82">
        <v>6.4500000000000002E-2</v>
      </c>
      <c r="I44" s="75">
        <f t="shared" si="9"/>
        <v>4.3165229057601943E-2</v>
      </c>
      <c r="J44" s="82">
        <v>7.2300000000000003E-2</v>
      </c>
      <c r="K44" s="75">
        <f t="shared" si="10"/>
        <v>4.845146224309746E-2</v>
      </c>
      <c r="L44" s="75">
        <v>4.1338761655570933E-2</v>
      </c>
    </row>
    <row r="45" spans="1:12" ht="16.05" customHeight="1">
      <c r="A45" s="81">
        <v>1970</v>
      </c>
      <c r="B45" s="81">
        <v>92.15</v>
      </c>
      <c r="C45" s="85">
        <v>3.1883900000000001</v>
      </c>
      <c r="D45" s="83">
        <f t="shared" si="6"/>
        <v>3.5611449054964169E-2</v>
      </c>
      <c r="E45" s="75">
        <f t="shared" si="7"/>
        <v>3.4599999999999999E-2</v>
      </c>
      <c r="F45" s="82">
        <v>6.3899999999999998E-2</v>
      </c>
      <c r="G45" s="75">
        <f t="shared" si="8"/>
        <v>0.16754737183412338</v>
      </c>
      <c r="H45" s="82">
        <v>7.7199999999999991E-2</v>
      </c>
      <c r="I45" s="75">
        <f t="shared" si="9"/>
        <v>-2.1804851328215524E-2</v>
      </c>
      <c r="J45" s="82">
        <v>8.6500000000000007E-2</v>
      </c>
      <c r="K45" s="75">
        <f t="shared" si="10"/>
        <v>-2.0251642507921469E-2</v>
      </c>
      <c r="L45" s="75">
        <v>6.9943498504573487E-2</v>
      </c>
    </row>
    <row r="46" spans="1:12" ht="16.05" customHeight="1">
      <c r="A46" s="81">
        <v>1971</v>
      </c>
      <c r="B46" s="81">
        <v>102.09</v>
      </c>
      <c r="C46" s="85">
        <v>3.16479</v>
      </c>
      <c r="D46" s="83">
        <f t="shared" si="6"/>
        <v>0.14221150298426471</v>
      </c>
      <c r="E46" s="75">
        <f t="shared" si="7"/>
        <v>3.1E-2</v>
      </c>
      <c r="F46" s="82">
        <v>5.9299999999999999E-2</v>
      </c>
      <c r="G46" s="75">
        <f t="shared" si="8"/>
        <v>9.7868966197122972E-2</v>
      </c>
      <c r="H46" s="82">
        <v>7.6399999999999996E-2</v>
      </c>
      <c r="I46" s="75">
        <f t="shared" si="9"/>
        <v>8.2656333516766323E-2</v>
      </c>
      <c r="J46" s="82">
        <v>9.1199999999999989E-2</v>
      </c>
      <c r="K46" s="75">
        <f t="shared" si="10"/>
        <v>5.6495676569888728E-2</v>
      </c>
      <c r="L46" s="75">
        <v>8.2154964403586828E-2</v>
      </c>
    </row>
    <row r="47" spans="1:12" ht="16.05" customHeight="1">
      <c r="A47" s="81">
        <v>1972</v>
      </c>
      <c r="B47" s="81">
        <v>118.05</v>
      </c>
      <c r="C47" s="85">
        <v>3.1873499999999999</v>
      </c>
      <c r="D47" s="83">
        <f t="shared" si="6"/>
        <v>0.18755362915074922</v>
      </c>
      <c r="E47" s="75">
        <f t="shared" si="7"/>
        <v>2.7E-2</v>
      </c>
      <c r="F47" s="82">
        <v>6.3600000000000004E-2</v>
      </c>
      <c r="G47" s="75">
        <f t="shared" si="8"/>
        <v>2.818449050444969E-2</v>
      </c>
      <c r="H47" s="82">
        <v>7.2499999999999995E-2</v>
      </c>
      <c r="I47" s="75">
        <f t="shared" si="9"/>
        <v>0.10347820104742242</v>
      </c>
      <c r="J47" s="82">
        <v>8.3800000000000013E-2</v>
      </c>
      <c r="K47" s="75">
        <f t="shared" si="10"/>
        <v>0.1400146617421994</v>
      </c>
      <c r="L47" s="75">
        <v>4.2449238297220138E-2</v>
      </c>
    </row>
    <row r="48" spans="1:12" ht="16.05" customHeight="1">
      <c r="A48" s="81">
        <v>1973</v>
      </c>
      <c r="B48" s="81">
        <v>97.55</v>
      </c>
      <c r="C48" s="85">
        <v>3.6093500000000001</v>
      </c>
      <c r="D48" s="83">
        <f t="shared" si="6"/>
        <v>-0.14308047437526467</v>
      </c>
      <c r="E48" s="75">
        <f t="shared" si="7"/>
        <v>3.7000000000000005E-2</v>
      </c>
      <c r="F48" s="82">
        <v>6.7400000000000002E-2</v>
      </c>
      <c r="G48" s="75">
        <f t="shared" si="8"/>
        <v>3.6586646024150085E-2</v>
      </c>
      <c r="H48" s="82">
        <v>7.0800000000000002E-2</v>
      </c>
      <c r="I48" s="75">
        <f t="shared" si="9"/>
        <v>8.4396058968845042E-2</v>
      </c>
      <c r="J48" s="82">
        <v>7.9299999999999995E-2</v>
      </c>
      <c r="K48" s="75">
        <f t="shared" si="10"/>
        <v>0.11409093579389698</v>
      </c>
      <c r="L48" s="75">
        <v>2.9757435694738765E-2</v>
      </c>
    </row>
    <row r="49" spans="1:12" ht="16.05" customHeight="1">
      <c r="A49" s="81">
        <v>1974</v>
      </c>
      <c r="B49" s="81">
        <v>68.56</v>
      </c>
      <c r="C49" s="85">
        <v>3.7228080000000001</v>
      </c>
      <c r="D49" s="83">
        <f t="shared" si="6"/>
        <v>-0.25901785750896972</v>
      </c>
      <c r="E49" s="75">
        <f t="shared" si="7"/>
        <v>5.4300000000000001E-2</v>
      </c>
      <c r="F49" s="82">
        <v>7.4300000000000005E-2</v>
      </c>
      <c r="G49" s="75">
        <f t="shared" si="8"/>
        <v>1.9886086932378574E-2</v>
      </c>
      <c r="H49" s="82">
        <v>7.6799999999999993E-2</v>
      </c>
      <c r="I49" s="75">
        <f t="shared" si="9"/>
        <v>2.9951880508655077E-2</v>
      </c>
      <c r="J49" s="82">
        <v>8.48E-2</v>
      </c>
      <c r="K49" s="75">
        <f t="shared" si="10"/>
        <v>4.3180404854323576E-2</v>
      </c>
      <c r="L49" s="75">
        <v>3.4220275692410596E-2</v>
      </c>
    </row>
    <row r="50" spans="1:12" ht="16.05" customHeight="1">
      <c r="A50" s="81">
        <v>1975</v>
      </c>
      <c r="B50" s="81">
        <v>90.19</v>
      </c>
      <c r="C50" s="85">
        <v>3.7338659999999999</v>
      </c>
      <c r="D50" s="83">
        <f t="shared" si="6"/>
        <v>0.36995137106184367</v>
      </c>
      <c r="E50" s="75">
        <f t="shared" si="7"/>
        <v>4.1399999999999999E-2</v>
      </c>
      <c r="F50" s="82">
        <v>0.08</v>
      </c>
      <c r="G50" s="75">
        <f t="shared" si="8"/>
        <v>3.6052536026033838E-2</v>
      </c>
      <c r="H50" s="82">
        <v>8.8900000000000007E-2</v>
      </c>
      <c r="I50" s="75">
        <f t="shared" si="9"/>
        <v>-1.2310591515394126E-3</v>
      </c>
      <c r="J50" s="82">
        <v>0.10630000000000001</v>
      </c>
      <c r="K50" s="75">
        <f t="shared" si="10"/>
        <v>-4.3807197977191667E-2</v>
      </c>
      <c r="L50" s="75">
        <v>0.10073521479539305</v>
      </c>
    </row>
    <row r="51" spans="1:12" ht="16.05" customHeight="1">
      <c r="A51" s="81">
        <v>1976</v>
      </c>
      <c r="B51" s="81">
        <v>107.46</v>
      </c>
      <c r="C51" s="85">
        <v>4.2231779999999999</v>
      </c>
      <c r="D51" s="83">
        <f t="shared" si="6"/>
        <v>0.23830999002106665</v>
      </c>
      <c r="E51" s="75">
        <f t="shared" si="7"/>
        <v>3.9300000000000002E-2</v>
      </c>
      <c r="F51" s="82">
        <v>6.8699999999999997E-2</v>
      </c>
      <c r="G51" s="75">
        <f t="shared" si="8"/>
        <v>0.1598456074290921</v>
      </c>
      <c r="H51" s="82">
        <v>8.7899999999999992E-2</v>
      </c>
      <c r="I51" s="75">
        <f t="shared" si="9"/>
        <v>9.5377407275910403E-2</v>
      </c>
      <c r="J51" s="82">
        <v>0.1056</v>
      </c>
      <c r="K51" s="75">
        <f t="shared" si="10"/>
        <v>0.11049964074144952</v>
      </c>
      <c r="L51" s="75">
        <v>6.7575900936054811E-2</v>
      </c>
    </row>
    <row r="52" spans="1:12" ht="16.05" customHeight="1">
      <c r="A52" s="81">
        <v>1977</v>
      </c>
      <c r="B52" s="81">
        <v>95.1</v>
      </c>
      <c r="C52" s="85">
        <v>4.85961</v>
      </c>
      <c r="D52" s="83">
        <f t="shared" si="6"/>
        <v>-6.979704075935228E-2</v>
      </c>
      <c r="E52" s="75">
        <f t="shared" si="7"/>
        <v>5.11E-2</v>
      </c>
      <c r="F52" s="82">
        <v>7.6899999999999996E-2</v>
      </c>
      <c r="G52" s="75">
        <f t="shared" si="8"/>
        <v>1.2899606071070449E-2</v>
      </c>
      <c r="H52" s="82">
        <v>7.980000000000001E-2</v>
      </c>
      <c r="I52" s="75">
        <f t="shared" si="9"/>
        <v>0.1423007238393551</v>
      </c>
      <c r="J52" s="82">
        <v>9.1199999999999989E-2</v>
      </c>
      <c r="K52" s="75">
        <f t="shared" si="10"/>
        <v>0.19752813987098014</v>
      </c>
      <c r="L52" s="75">
        <v>8.1979599546656567E-2</v>
      </c>
    </row>
    <row r="53" spans="1:12" ht="16.05" customHeight="1">
      <c r="A53" s="81">
        <v>1978</v>
      </c>
      <c r="B53" s="81">
        <v>96.11</v>
      </c>
      <c r="C53" s="85">
        <v>5.1803290000000004</v>
      </c>
      <c r="D53" s="83">
        <f t="shared" si="6"/>
        <v>6.50928391167193E-2</v>
      </c>
      <c r="E53" s="75">
        <f t="shared" si="7"/>
        <v>5.3900000000000003E-2</v>
      </c>
      <c r="F53" s="82">
        <v>9.01E-2</v>
      </c>
      <c r="G53" s="75">
        <f t="shared" si="8"/>
        <v>-7.7758069075086478E-3</v>
      </c>
      <c r="H53" s="82">
        <v>8.1900000000000001E-2</v>
      </c>
      <c r="I53" s="75">
        <f t="shared" si="9"/>
        <v>6.5828795102617438E-2</v>
      </c>
      <c r="J53" s="82">
        <v>8.9900000000000008E-2</v>
      </c>
      <c r="K53" s="75">
        <f t="shared" si="10"/>
        <v>9.9546628520906386E-2</v>
      </c>
      <c r="L53" s="75">
        <v>0.14664804469273762</v>
      </c>
    </row>
    <row r="54" spans="1:12" ht="16.05" customHeight="1">
      <c r="A54" s="81">
        <v>1979</v>
      </c>
      <c r="B54" s="81">
        <v>107.94</v>
      </c>
      <c r="C54" s="85">
        <v>5.9690820000000002</v>
      </c>
      <c r="D54" s="83">
        <f t="shared" si="6"/>
        <v>0.18519490167516386</v>
      </c>
      <c r="E54" s="75">
        <f t="shared" si="7"/>
        <v>5.5300000000000002E-2</v>
      </c>
      <c r="F54" s="82">
        <v>0.10390000000000001</v>
      </c>
      <c r="G54" s="75">
        <f t="shared" si="8"/>
        <v>6.7072031247235459E-3</v>
      </c>
      <c r="H54" s="82">
        <v>9.1600000000000001E-2</v>
      </c>
      <c r="I54" s="75">
        <f t="shared" si="9"/>
        <v>2.0084743079482631E-2</v>
      </c>
      <c r="J54" s="82">
        <v>9.9399999999999988E-2</v>
      </c>
      <c r="K54" s="75">
        <f t="shared" si="10"/>
        <v>3.1375849771690861E-2</v>
      </c>
      <c r="L54" s="75">
        <v>0.15712545676004863</v>
      </c>
    </row>
    <row r="55" spans="1:12" ht="16.05" customHeight="1">
      <c r="A55" s="81">
        <v>1980</v>
      </c>
      <c r="B55" s="81">
        <v>135.76</v>
      </c>
      <c r="C55" s="85">
        <v>6.4350240000000003</v>
      </c>
      <c r="D55" s="83">
        <f t="shared" si="6"/>
        <v>0.3173524550676301</v>
      </c>
      <c r="E55" s="75">
        <f t="shared" si="7"/>
        <v>4.7400000000000005E-2</v>
      </c>
      <c r="F55" s="82">
        <v>0.12839999999999999</v>
      </c>
      <c r="G55" s="75">
        <f t="shared" si="8"/>
        <v>-2.989744251999403E-2</v>
      </c>
      <c r="H55" s="82">
        <v>0.1074</v>
      </c>
      <c r="I55" s="75">
        <f t="shared" si="9"/>
        <v>-2.4730935003710736E-3</v>
      </c>
      <c r="J55" s="82">
        <v>0.1206</v>
      </c>
      <c r="K55" s="75">
        <f t="shared" si="10"/>
        <v>-2.0091101436615355E-2</v>
      </c>
      <c r="L55" s="75">
        <v>0.13736842105263158</v>
      </c>
    </row>
    <row r="56" spans="1:12" ht="16.05" customHeight="1">
      <c r="A56" s="81">
        <v>1981</v>
      </c>
      <c r="B56" s="81">
        <v>122.55</v>
      </c>
      <c r="C56" s="85">
        <v>6.8260350000000001</v>
      </c>
      <c r="D56" s="83">
        <f t="shared" si="6"/>
        <v>-4.7023902474955727E-2</v>
      </c>
      <c r="E56" s="75">
        <f t="shared" si="7"/>
        <v>5.57E-2</v>
      </c>
      <c r="F56" s="82">
        <v>0.13719999999999999</v>
      </c>
      <c r="G56" s="75">
        <f t="shared" si="8"/>
        <v>8.1992153358923542E-2</v>
      </c>
      <c r="H56" s="82">
        <v>0.1321</v>
      </c>
      <c r="I56" s="75">
        <f t="shared" si="9"/>
        <v>-2.5510823097555202E-2</v>
      </c>
      <c r="J56" s="82">
        <v>0.15140000000000001</v>
      </c>
      <c r="K56" s="75">
        <f t="shared" si="10"/>
        <v>-3.3156783371910456E-2</v>
      </c>
      <c r="L56" s="75">
        <v>7.4039796390559909E-2</v>
      </c>
    </row>
    <row r="57" spans="1:12" ht="16.05" customHeight="1">
      <c r="A57" s="81">
        <v>1982</v>
      </c>
      <c r="B57" s="81">
        <v>140.63999999999999</v>
      </c>
      <c r="C57" s="85">
        <v>6.9335519999999997</v>
      </c>
      <c r="D57" s="83">
        <f t="shared" si="6"/>
        <v>0.20419055079559348</v>
      </c>
      <c r="E57" s="75">
        <f t="shared" si="7"/>
        <v>4.9300000000000004E-2</v>
      </c>
      <c r="F57" s="82">
        <v>0.10539999999999999</v>
      </c>
      <c r="G57" s="75">
        <f t="shared" si="8"/>
        <v>0.32814549486295586</v>
      </c>
      <c r="H57" s="82">
        <v>0.14230000000000001</v>
      </c>
      <c r="I57" s="75">
        <f t="shared" si="9"/>
        <v>7.936976425152531E-2</v>
      </c>
      <c r="J57" s="82">
        <v>0.16550000000000001</v>
      </c>
      <c r="K57" s="75">
        <f t="shared" si="10"/>
        <v>8.4623994808912056E-2</v>
      </c>
      <c r="L57" s="75">
        <v>5.0840155105557949E-2</v>
      </c>
    </row>
    <row r="58" spans="1:12" ht="16.05" customHeight="1">
      <c r="A58" s="81">
        <v>1983</v>
      </c>
      <c r="B58" s="81">
        <v>164.93</v>
      </c>
      <c r="C58" s="85">
        <v>7.1249760000000002</v>
      </c>
      <c r="D58" s="83">
        <f t="shared" si="6"/>
        <v>0.22337155858930621</v>
      </c>
      <c r="E58" s="75">
        <f t="shared" si="7"/>
        <v>4.3200000000000002E-2</v>
      </c>
      <c r="F58" s="82">
        <v>0.1183</v>
      </c>
      <c r="G58" s="75">
        <f t="shared" si="8"/>
        <v>3.2002094451429264E-2</v>
      </c>
      <c r="H58" s="82">
        <v>0.1183</v>
      </c>
      <c r="I58" s="75">
        <f t="shared" si="9"/>
        <v>0.27885424288106153</v>
      </c>
      <c r="J58" s="82">
        <v>0.1414</v>
      </c>
      <c r="K58" s="75">
        <f t="shared" si="10"/>
        <v>0.2905245565590866</v>
      </c>
      <c r="L58" s="75">
        <v>5.740057400573928E-3</v>
      </c>
    </row>
    <row r="59" spans="1:12" ht="16.05" customHeight="1">
      <c r="A59" s="81">
        <v>1984</v>
      </c>
      <c r="B59" s="81">
        <v>167.24</v>
      </c>
      <c r="C59" s="85">
        <v>7.8268319999999996</v>
      </c>
      <c r="D59" s="83">
        <f t="shared" si="6"/>
        <v>6.1461419996362079E-2</v>
      </c>
      <c r="E59" s="75">
        <f t="shared" si="7"/>
        <v>4.6799999999999994E-2</v>
      </c>
      <c r="F59" s="82">
        <v>0.115</v>
      </c>
      <c r="G59" s="75">
        <f t="shared" si="8"/>
        <v>0.13733364344102345</v>
      </c>
      <c r="H59" s="82">
        <v>0.1255</v>
      </c>
      <c r="I59" s="75">
        <f t="shared" si="9"/>
        <v>7.8518183520946236E-2</v>
      </c>
      <c r="J59" s="82">
        <v>0.13750000000000001</v>
      </c>
      <c r="K59" s="75">
        <f t="shared" si="10"/>
        <v>0.16194289622798366</v>
      </c>
      <c r="L59" s="75">
        <v>4.7492865878516088E-2</v>
      </c>
    </row>
    <row r="60" spans="1:12" ht="16.05" customHeight="1">
      <c r="A60" s="81">
        <v>1985</v>
      </c>
      <c r="B60" s="81">
        <v>211.28</v>
      </c>
      <c r="C60" s="85">
        <v>8.1976639999999996</v>
      </c>
      <c r="D60" s="83">
        <f t="shared" si="6"/>
        <v>0.31235149485768948</v>
      </c>
      <c r="E60" s="75">
        <f t="shared" si="7"/>
        <v>3.8800000000000001E-2</v>
      </c>
      <c r="F60" s="82">
        <v>9.2600000000000002E-2</v>
      </c>
      <c r="G60" s="75">
        <f t="shared" si="8"/>
        <v>0.2571248821260641</v>
      </c>
      <c r="H60" s="82">
        <v>0.1215</v>
      </c>
      <c r="I60" s="75">
        <f t="shared" si="9"/>
        <v>0.14796279212681412</v>
      </c>
      <c r="J60" s="82">
        <v>0.13400000000000001</v>
      </c>
      <c r="K60" s="75">
        <f t="shared" si="10"/>
        <v>0.15619207332454216</v>
      </c>
      <c r="L60" s="75">
        <v>4.6701692936368833E-2</v>
      </c>
    </row>
    <row r="61" spans="1:12" ht="16.05" customHeight="1">
      <c r="A61" s="81">
        <v>1986</v>
      </c>
      <c r="B61" s="81">
        <v>242.17</v>
      </c>
      <c r="C61" s="85">
        <v>8.1853459999999991</v>
      </c>
      <c r="D61" s="83">
        <f t="shared" si="6"/>
        <v>0.18494578758046193</v>
      </c>
      <c r="E61" s="75">
        <f t="shared" si="7"/>
        <v>3.3799999999999997E-2</v>
      </c>
      <c r="F61" s="82">
        <v>7.1099999999999997E-2</v>
      </c>
      <c r="G61" s="75">
        <f t="shared" si="8"/>
        <v>0.24284215141767618</v>
      </c>
      <c r="H61" s="82">
        <v>9.9100000000000008E-2</v>
      </c>
      <c r="I61" s="75">
        <f t="shared" si="9"/>
        <v>0.25967206594531983</v>
      </c>
      <c r="J61" s="82">
        <v>0.1158</v>
      </c>
      <c r="K61" s="75">
        <f t="shared" si="10"/>
        <v>0.23862641849916477</v>
      </c>
      <c r="L61" s="75">
        <v>7.4735080870050208E-2</v>
      </c>
    </row>
    <row r="62" spans="1:12" ht="16.05" customHeight="1">
      <c r="A62" s="81">
        <v>1987</v>
      </c>
      <c r="B62" s="81">
        <v>247.08</v>
      </c>
      <c r="C62" s="85">
        <v>9.1666679999999996</v>
      </c>
      <c r="D62" s="83">
        <f t="shared" si="6"/>
        <v>5.8127216418218663E-2</v>
      </c>
      <c r="E62" s="75">
        <f t="shared" si="7"/>
        <v>3.7099999999999994E-2</v>
      </c>
      <c r="F62" s="82">
        <v>8.9899999999999994E-2</v>
      </c>
      <c r="G62" s="75">
        <f t="shared" si="8"/>
        <v>-4.9605089379262279E-2</v>
      </c>
      <c r="H62" s="82">
        <v>8.5299999999999987E-2</v>
      </c>
      <c r="I62" s="75">
        <f t="shared" si="9"/>
        <v>0.18952569496617461</v>
      </c>
      <c r="J62" s="82">
        <v>9.9900000000000003E-2</v>
      </c>
      <c r="K62" s="75">
        <f t="shared" si="10"/>
        <v>0.21354060117746398</v>
      </c>
      <c r="L62" s="75">
        <v>9.6177131984085618E-2</v>
      </c>
    </row>
    <row r="63" spans="1:12" ht="16.05" customHeight="1">
      <c r="A63" s="81">
        <v>1988</v>
      </c>
      <c r="B63" s="81">
        <v>277.72000000000003</v>
      </c>
      <c r="C63" s="85">
        <v>10.220096</v>
      </c>
      <c r="D63" s="83">
        <f t="shared" si="6"/>
        <v>0.16537192812044693</v>
      </c>
      <c r="E63" s="75">
        <f t="shared" si="7"/>
        <v>3.6799999999999992E-2</v>
      </c>
      <c r="F63" s="82">
        <v>9.11E-2</v>
      </c>
      <c r="G63" s="75">
        <f t="shared" si="8"/>
        <v>8.2235958434841674E-2</v>
      </c>
      <c r="H63" s="82">
        <v>0.10060000000000001</v>
      </c>
      <c r="I63" s="75">
        <f t="shared" si="9"/>
        <v>-8.4700466790267881E-3</v>
      </c>
      <c r="J63" s="82">
        <v>0.11220000000000001</v>
      </c>
      <c r="K63" s="75">
        <f t="shared" si="10"/>
        <v>2.8125853555458283E-2</v>
      </c>
      <c r="L63" s="75">
        <v>7.849139971595398E-2</v>
      </c>
    </row>
    <row r="64" spans="1:12" ht="16.05" customHeight="1">
      <c r="A64" s="81">
        <v>1989</v>
      </c>
      <c r="B64" s="81">
        <v>353.4</v>
      </c>
      <c r="C64" s="85">
        <v>11.73288</v>
      </c>
      <c r="D64" s="83">
        <f t="shared" si="6"/>
        <v>0.3147518363819673</v>
      </c>
      <c r="E64" s="75">
        <f t="shared" si="7"/>
        <v>3.32E-2</v>
      </c>
      <c r="F64" s="82">
        <v>7.8399999999999997E-2</v>
      </c>
      <c r="G64" s="75">
        <f t="shared" si="8"/>
        <v>0.17693647159446219</v>
      </c>
      <c r="H64" s="82">
        <v>9.6099999999999991E-2</v>
      </c>
      <c r="I64" s="75">
        <f t="shared" si="9"/>
        <v>0.12871994621968308</v>
      </c>
      <c r="J64" s="82">
        <v>0.1069</v>
      </c>
      <c r="K64" s="75">
        <f t="shared" si="10"/>
        <v>0.14382285179475657</v>
      </c>
      <c r="L64" s="75">
        <v>7.2208240664871859E-2</v>
      </c>
    </row>
    <row r="65" spans="1:12" ht="16.05" customHeight="1">
      <c r="A65" s="81">
        <v>1990</v>
      </c>
      <c r="B65" s="81">
        <v>330.22</v>
      </c>
      <c r="C65" s="85">
        <v>12.350228</v>
      </c>
      <c r="D65" s="83">
        <f t="shared" ref="D65:D96" si="11">((B65+C65)-B64)/B64</f>
        <v>-3.0644516129032073E-2</v>
      </c>
      <c r="E65" s="75">
        <f t="shared" si="7"/>
        <v>3.7399999999999996E-2</v>
      </c>
      <c r="F65" s="82">
        <v>8.0799999999999997E-2</v>
      </c>
      <c r="G65" s="75">
        <f t="shared" si="8"/>
        <v>6.2353753335533363E-2</v>
      </c>
      <c r="H65" s="82">
        <v>8.8699999999999987E-2</v>
      </c>
      <c r="I65" s="75">
        <f t="shared" si="9"/>
        <v>0.14386362626980134</v>
      </c>
      <c r="J65" s="82">
        <v>9.8400000000000001E-2</v>
      </c>
      <c r="K65" s="75">
        <f t="shared" si="10"/>
        <v>0.15948974901357249</v>
      </c>
      <c r="L65" s="75">
        <v>4.3928001200889799E-2</v>
      </c>
    </row>
    <row r="66" spans="1:12" ht="16.05" customHeight="1">
      <c r="A66" s="81">
        <v>1991</v>
      </c>
      <c r="B66" s="81">
        <v>417.09</v>
      </c>
      <c r="C66" s="85">
        <v>12.971499</v>
      </c>
      <c r="D66" s="83">
        <f t="shared" si="11"/>
        <v>0.30234843134879757</v>
      </c>
      <c r="E66" s="75">
        <f t="shared" si="7"/>
        <v>3.1100000000000003E-2</v>
      </c>
      <c r="F66" s="82">
        <v>7.0900000000000005E-2</v>
      </c>
      <c r="G66" s="75">
        <f t="shared" si="8"/>
        <v>0.15004510019517303</v>
      </c>
      <c r="H66" s="82">
        <v>9.0500000000000011E-2</v>
      </c>
      <c r="I66" s="75">
        <f t="shared" si="9"/>
        <v>7.7173596023443189E-2</v>
      </c>
      <c r="J66" s="82">
        <v>0.1043</v>
      </c>
      <c r="K66" s="75">
        <f t="shared" si="10"/>
        <v>6.2807165619478592E-2</v>
      </c>
      <c r="L66" s="75">
        <v>-6.8759967580853676E-3</v>
      </c>
    </row>
    <row r="67" spans="1:12" ht="16.05" customHeight="1">
      <c r="A67" s="81">
        <v>1992</v>
      </c>
      <c r="B67" s="81">
        <v>435.71</v>
      </c>
      <c r="C67" s="85">
        <v>12.635590000000001</v>
      </c>
      <c r="D67" s="83">
        <f t="shared" si="11"/>
        <v>7.4937279723800584E-2</v>
      </c>
      <c r="E67" s="75">
        <f t="shared" ref="E67:E99" si="12">C67/B67</f>
        <v>2.9000000000000001E-2</v>
      </c>
      <c r="F67" s="82">
        <v>6.7699999999999996E-2</v>
      </c>
      <c r="G67" s="75">
        <f t="shared" ref="G67:G91" si="13">((F66*(1-(1+F67)^(-10))/F67+1/(1+F67)^10)-1)+F66</f>
        <v>9.3616373162079422E-2</v>
      </c>
      <c r="H67" s="82">
        <v>8.1600000000000006E-2</v>
      </c>
      <c r="I67" s="75">
        <f t="shared" ref="I67:I98" si="14">((H66*(1-(1+H67)^(-10))/H67+1/(1+H67)^10)-1)+H66</f>
        <v>0.14979112964226093</v>
      </c>
      <c r="J67" s="82">
        <v>9.0999999999999998E-2</v>
      </c>
      <c r="K67" s="75">
        <f t="shared" ref="K67:K98" si="15">((J66*(1-(1+J67)^(-10))/J67+1/(1+J67)^10)-1)+J66</f>
        <v>0.18928042873950041</v>
      </c>
      <c r="L67" s="75">
        <v>-1.6979939977885827E-3</v>
      </c>
    </row>
    <row r="68" spans="1:12" ht="16.05" customHeight="1">
      <c r="A68" s="81">
        <v>1993</v>
      </c>
      <c r="B68" s="81">
        <v>466.45</v>
      </c>
      <c r="C68" s="85">
        <v>12.68744</v>
      </c>
      <c r="D68" s="83">
        <f t="shared" si="11"/>
        <v>9.9670514791948758E-2</v>
      </c>
      <c r="E68" s="75">
        <f t="shared" si="12"/>
        <v>2.7200000000000002E-2</v>
      </c>
      <c r="F68" s="82">
        <v>5.7700000000000001E-2</v>
      </c>
      <c r="G68" s="75">
        <f t="shared" si="13"/>
        <v>0.14210957589263107</v>
      </c>
      <c r="H68" s="82">
        <v>7.9100000000000004E-2</v>
      </c>
      <c r="I68" s="75">
        <f t="shared" si="14"/>
        <v>9.8443515032612061E-2</v>
      </c>
      <c r="J68" s="82">
        <v>8.7599999999999997E-2</v>
      </c>
      <c r="K68" s="75">
        <f t="shared" si="15"/>
        <v>0.11305244549445928</v>
      </c>
      <c r="L68" s="75">
        <v>8.1747821156863409E-3</v>
      </c>
    </row>
    <row r="69" spans="1:12" ht="16.05" customHeight="1">
      <c r="A69" s="81">
        <v>1994</v>
      </c>
      <c r="B69" s="81">
        <v>459.27</v>
      </c>
      <c r="C69" s="85">
        <v>13.364757000000001</v>
      </c>
      <c r="D69" s="83">
        <f t="shared" si="11"/>
        <v>1.3259206774573888E-2</v>
      </c>
      <c r="E69" s="75">
        <f t="shared" si="12"/>
        <v>2.9100000000000004E-2</v>
      </c>
      <c r="F69" s="82">
        <v>7.8100000000000003E-2</v>
      </c>
      <c r="G69" s="75">
        <f t="shared" si="13"/>
        <v>-8.0366555509985921E-2</v>
      </c>
      <c r="H69" s="82">
        <v>7.0000000000000007E-2</v>
      </c>
      <c r="I69" s="75">
        <f t="shared" si="14"/>
        <v>0.14301459202248662</v>
      </c>
      <c r="J69" s="82">
        <v>7.7699999999999991E-2</v>
      </c>
      <c r="K69" s="75">
        <f t="shared" si="15"/>
        <v>0.15472450683005834</v>
      </c>
      <c r="L69" s="75">
        <v>2.1565986163242234E-2</v>
      </c>
    </row>
    <row r="70" spans="1:12" ht="16.05" customHeight="1">
      <c r="A70" s="81">
        <v>1995</v>
      </c>
      <c r="B70" s="81">
        <v>615.92999999999995</v>
      </c>
      <c r="C70" s="85">
        <v>14.16639</v>
      </c>
      <c r="D70" s="83">
        <f t="shared" si="11"/>
        <v>0.37195198902606302</v>
      </c>
      <c r="E70" s="75">
        <f t="shared" si="12"/>
        <v>2.3000000000000003E-2</v>
      </c>
      <c r="F70" s="82">
        <v>5.7099999999999998E-2</v>
      </c>
      <c r="G70" s="75">
        <f t="shared" si="13"/>
        <v>0.23480780112538907</v>
      </c>
      <c r="H70" s="82">
        <v>8.4900000000000003E-2</v>
      </c>
      <c r="I70" s="75">
        <f t="shared" si="14"/>
        <v>-2.7807661421247742E-2</v>
      </c>
      <c r="J70" s="82">
        <v>9.1400000000000009E-2</v>
      </c>
      <c r="K70" s="75">
        <f t="shared" si="15"/>
        <v>-9.6826953788543557E-3</v>
      </c>
      <c r="L70" s="75">
        <v>2.5156185989348767E-2</v>
      </c>
    </row>
    <row r="71" spans="1:12" ht="16.05" customHeight="1">
      <c r="A71" s="81">
        <v>1996</v>
      </c>
      <c r="B71" s="81">
        <v>740.74</v>
      </c>
      <c r="C71" s="85">
        <v>14.888873999999999</v>
      </c>
      <c r="D71" s="83">
        <f t="shared" si="11"/>
        <v>0.22680966018865789</v>
      </c>
      <c r="E71" s="75">
        <f t="shared" si="12"/>
        <v>2.01E-2</v>
      </c>
      <c r="F71" s="82">
        <v>6.3E-2</v>
      </c>
      <c r="G71" s="75">
        <f t="shared" si="13"/>
        <v>1.428607793401844E-2</v>
      </c>
      <c r="H71" s="82">
        <v>6.7099999999999993E-2</v>
      </c>
      <c r="I71" s="75">
        <f t="shared" si="14"/>
        <v>0.21161302520080752</v>
      </c>
      <c r="J71" s="82">
        <v>7.3800000000000004E-2</v>
      </c>
      <c r="K71" s="75">
        <f t="shared" si="15"/>
        <v>0.21287256523842943</v>
      </c>
      <c r="L71" s="75">
        <v>1.7920251757683303E-2</v>
      </c>
    </row>
    <row r="72" spans="1:12" ht="16.05" customHeight="1">
      <c r="A72" s="81">
        <v>1997</v>
      </c>
      <c r="B72" s="81">
        <v>970.43</v>
      </c>
      <c r="C72" s="85">
        <v>15.522</v>
      </c>
      <c r="D72" s="83">
        <f t="shared" si="11"/>
        <v>0.33103653103653102</v>
      </c>
      <c r="E72" s="75">
        <f t="shared" si="12"/>
        <v>1.5994971301381864E-2</v>
      </c>
      <c r="F72" s="82">
        <v>5.8099999999999999E-2</v>
      </c>
      <c r="G72" s="75">
        <f t="shared" si="13"/>
        <v>9.939130272977531E-2</v>
      </c>
      <c r="H72" s="82">
        <v>7.2700000000000001E-2</v>
      </c>
      <c r="I72" s="75">
        <f t="shared" si="14"/>
        <v>2.8254181201576911E-2</v>
      </c>
      <c r="J72" s="82">
        <v>7.9699999999999993E-2</v>
      </c>
      <c r="K72" s="75">
        <f t="shared" si="15"/>
        <v>3.4156893562299034E-2</v>
      </c>
      <c r="L72" s="75">
        <v>2.4254097556188015E-2</v>
      </c>
    </row>
    <row r="73" spans="1:12" ht="16.05" customHeight="1">
      <c r="A73" s="81">
        <v>1998</v>
      </c>
      <c r="B73" s="81">
        <v>1229.23</v>
      </c>
      <c r="C73" s="85">
        <v>16.2</v>
      </c>
      <c r="D73" s="83">
        <f t="shared" si="11"/>
        <v>0.28337953278443589</v>
      </c>
      <c r="E73" s="75">
        <f t="shared" si="12"/>
        <v>1.3178981964319126E-2</v>
      </c>
      <c r="F73" s="82">
        <v>4.65E-2</v>
      </c>
      <c r="G73" s="75">
        <f t="shared" si="13"/>
        <v>0.14921431922606215</v>
      </c>
      <c r="H73" s="82">
        <v>6.7099999999999993E-2</v>
      </c>
      <c r="I73" s="75">
        <f t="shared" si="14"/>
        <v>0.11256477197328786</v>
      </c>
      <c r="J73" s="82">
        <v>7.2800000000000004E-2</v>
      </c>
      <c r="K73" s="75">
        <f t="shared" si="15"/>
        <v>0.12754162725001839</v>
      </c>
      <c r="L73" s="75">
        <v>4.0220867419660244E-2</v>
      </c>
    </row>
    <row r="74" spans="1:12" ht="16.05" customHeight="1">
      <c r="A74" s="81">
        <v>1999</v>
      </c>
      <c r="B74" s="81">
        <v>1469.25</v>
      </c>
      <c r="C74" s="85">
        <v>16.709</v>
      </c>
      <c r="D74" s="83">
        <f t="shared" si="11"/>
        <v>0.20885350992084478</v>
      </c>
      <c r="E74" s="75">
        <f t="shared" si="12"/>
        <v>1.1372468946741534E-2</v>
      </c>
      <c r="F74" s="82">
        <v>6.4399999999999999E-2</v>
      </c>
      <c r="G74" s="75">
        <f t="shared" si="13"/>
        <v>-8.2542147962685761E-2</v>
      </c>
      <c r="H74" s="82">
        <v>6.2300000000000001E-2</v>
      </c>
      <c r="I74" s="75">
        <f t="shared" si="14"/>
        <v>0.10204661874257664</v>
      </c>
      <c r="J74" s="82">
        <v>7.2300000000000003E-2</v>
      </c>
      <c r="K74" s="75">
        <f t="shared" si="15"/>
        <v>7.6274756292817242E-2</v>
      </c>
      <c r="L74" s="75">
        <v>6.4423641576565771E-2</v>
      </c>
    </row>
    <row r="75" spans="1:12" ht="16.05" customHeight="1">
      <c r="A75" s="81">
        <v>2000</v>
      </c>
      <c r="B75" s="81">
        <v>1320.28</v>
      </c>
      <c r="C75" s="85">
        <v>16.27</v>
      </c>
      <c r="D75" s="83">
        <f t="shared" si="11"/>
        <v>-9.0318189552492795E-2</v>
      </c>
      <c r="E75" s="82">
        <f t="shared" si="12"/>
        <v>1.2323143575605175E-2</v>
      </c>
      <c r="F75" s="82">
        <v>5.11E-2</v>
      </c>
      <c r="G75" s="75">
        <f t="shared" si="13"/>
        <v>0.16655267125397488</v>
      </c>
      <c r="H75" s="82">
        <v>7.6399999999999996E-2</v>
      </c>
      <c r="I75" s="75">
        <f t="shared" si="14"/>
        <v>-3.3867878233007097E-2</v>
      </c>
      <c r="J75" s="82">
        <v>8.1799999999999998E-2</v>
      </c>
      <c r="K75" s="75">
        <f t="shared" si="15"/>
        <v>9.0685450376237486E-3</v>
      </c>
      <c r="L75" s="75">
        <v>7.6804915514592897E-2</v>
      </c>
    </row>
    <row r="76" spans="1:12" ht="16.05" customHeight="1">
      <c r="A76" s="81">
        <v>2001</v>
      </c>
      <c r="B76" s="81">
        <v>1148.0899999999999</v>
      </c>
      <c r="C76" s="85">
        <v>15.74</v>
      </c>
      <c r="D76" s="83">
        <f t="shared" si="11"/>
        <v>-0.11849759142000185</v>
      </c>
      <c r="E76" s="82">
        <f t="shared" si="12"/>
        <v>1.3709726589378883E-2</v>
      </c>
      <c r="F76" s="82">
        <v>5.0500000000000003E-2</v>
      </c>
      <c r="G76" s="75">
        <f t="shared" si="13"/>
        <v>5.5721811892492555E-2</v>
      </c>
      <c r="H76" s="82">
        <v>7.1599999999999997E-2</v>
      </c>
      <c r="I76" s="75">
        <f t="shared" si="14"/>
        <v>0.10986525460424953</v>
      </c>
      <c r="J76" s="82">
        <v>0.08</v>
      </c>
      <c r="K76" s="75">
        <f t="shared" si="15"/>
        <v>9.3878146518094577E-2</v>
      </c>
      <c r="L76" s="75">
        <v>9.2915553233810844E-2</v>
      </c>
    </row>
    <row r="77" spans="1:12" ht="16.05" customHeight="1">
      <c r="A77" s="81">
        <v>2002</v>
      </c>
      <c r="B77" s="81">
        <v>879.82</v>
      </c>
      <c r="C77" s="85">
        <v>16.079999999999998</v>
      </c>
      <c r="D77" s="83">
        <f t="shared" si="11"/>
        <v>-0.21966047957912693</v>
      </c>
      <c r="E77" s="82">
        <f t="shared" si="12"/>
        <v>1.8276465640699232E-2</v>
      </c>
      <c r="F77" s="82">
        <v>3.8199999999999998E-2</v>
      </c>
      <c r="G77" s="75">
        <f t="shared" si="13"/>
        <v>0.15116400378109285</v>
      </c>
      <c r="H77" s="82">
        <v>6.6100000000000006E-2</v>
      </c>
      <c r="I77" s="75">
        <f t="shared" si="14"/>
        <v>0.11093583112511907</v>
      </c>
      <c r="J77" s="82">
        <v>7.9199999999999993E-2</v>
      </c>
      <c r="K77" s="75">
        <f t="shared" si="15"/>
        <v>8.5387489183019236E-2</v>
      </c>
      <c r="L77" s="75">
        <v>6.6779421091818225E-2</v>
      </c>
    </row>
    <row r="78" spans="1:12" ht="16.05" customHeight="1">
      <c r="A78" s="81">
        <v>2003</v>
      </c>
      <c r="B78" s="81">
        <v>1111.9100000000001</v>
      </c>
      <c r="C78" s="85">
        <v>17.39</v>
      </c>
      <c r="D78" s="83">
        <f t="shared" si="11"/>
        <v>0.28355800050010244</v>
      </c>
      <c r="E78" s="82">
        <f t="shared" si="12"/>
        <v>1.5639755016143394E-2</v>
      </c>
      <c r="F78" s="82">
        <v>4.2500000000000003E-2</v>
      </c>
      <c r="G78" s="75">
        <f t="shared" si="13"/>
        <v>3.7531858817758529E-3</v>
      </c>
      <c r="H78" s="82">
        <v>6.0899999999999996E-2</v>
      </c>
      <c r="I78" s="75">
        <f t="shared" si="14"/>
        <v>0.10420978781988617</v>
      </c>
      <c r="J78" s="82">
        <v>7.3099999999999998E-2</v>
      </c>
      <c r="K78" s="75">
        <f t="shared" si="15"/>
        <v>0.12143658327667134</v>
      </c>
      <c r="L78" s="75">
        <v>9.5600399806989866E-2</v>
      </c>
    </row>
    <row r="79" spans="1:12" ht="16.05" customHeight="1">
      <c r="A79" s="81">
        <v>2004</v>
      </c>
      <c r="B79" s="81">
        <v>1211.92</v>
      </c>
      <c r="C79" s="85">
        <v>19.440000000000001</v>
      </c>
      <c r="D79" s="83">
        <f t="shared" si="11"/>
        <v>0.10742775944096199</v>
      </c>
      <c r="E79" s="82">
        <f t="shared" si="12"/>
        <v>1.6040662750016504E-2</v>
      </c>
      <c r="F79" s="82">
        <v>4.2200000000000001E-2</v>
      </c>
      <c r="G79" s="75">
        <f t="shared" si="13"/>
        <v>4.490683702274547E-2</v>
      </c>
      <c r="H79" s="82">
        <v>5.6299999999999996E-2</v>
      </c>
      <c r="I79" s="75">
        <f t="shared" si="14"/>
        <v>9.535788974746788E-2</v>
      </c>
      <c r="J79" s="82">
        <v>6.6100000000000006E-2</v>
      </c>
      <c r="K79" s="75">
        <f t="shared" si="15"/>
        <v>0.12316378506833342</v>
      </c>
      <c r="L79" s="75">
        <v>9.8119558635008763E-2</v>
      </c>
    </row>
    <row r="80" spans="1:12" ht="16.05" customHeight="1">
      <c r="A80" s="81">
        <v>2005</v>
      </c>
      <c r="B80" s="81">
        <v>1248.29</v>
      </c>
      <c r="C80" s="85">
        <v>22.22</v>
      </c>
      <c r="D80" s="83">
        <f t="shared" si="11"/>
        <v>4.8344775232688555E-2</v>
      </c>
      <c r="E80" s="82">
        <f t="shared" si="12"/>
        <v>1.7800350880003844E-2</v>
      </c>
      <c r="F80" s="82">
        <v>4.3900000000000002E-2</v>
      </c>
      <c r="G80" s="75">
        <f t="shared" si="13"/>
        <v>2.8675329597779506E-2</v>
      </c>
      <c r="H80" s="82">
        <v>5.4299999999999994E-2</v>
      </c>
      <c r="I80" s="75">
        <f t="shared" si="14"/>
        <v>7.1425997574770611E-2</v>
      </c>
      <c r="J80" s="82">
        <v>6.0999999999999999E-2</v>
      </c>
      <c r="K80" s="75">
        <f t="shared" si="15"/>
        <v>0.10345924468934715</v>
      </c>
      <c r="L80" s="75">
        <v>0.13638479663675351</v>
      </c>
    </row>
    <row r="81" spans="1:12" ht="16.05" customHeight="1">
      <c r="A81" s="81">
        <v>2006</v>
      </c>
      <c r="B81" s="81">
        <v>1418.3</v>
      </c>
      <c r="C81" s="85">
        <v>24.88</v>
      </c>
      <c r="D81" s="83">
        <f t="shared" si="11"/>
        <v>0.15612557979315711</v>
      </c>
      <c r="E81" s="82">
        <f t="shared" si="12"/>
        <v>1.7542127899598109E-2</v>
      </c>
      <c r="F81" s="82">
        <v>4.7E-2</v>
      </c>
      <c r="G81" s="75">
        <f t="shared" si="13"/>
        <v>1.9610012417568386E-2</v>
      </c>
      <c r="H81" s="82">
        <v>5.2600000000000001E-2</v>
      </c>
      <c r="I81" s="75">
        <f t="shared" si="14"/>
        <v>6.7262771807337945E-2</v>
      </c>
      <c r="J81" s="82">
        <v>6.2100000000000002E-2</v>
      </c>
      <c r="K81" s="75">
        <f t="shared" si="15"/>
        <v>5.2983848835185088E-2</v>
      </c>
      <c r="L81" s="75">
        <v>0.13510430453141753</v>
      </c>
    </row>
    <row r="82" spans="1:12" ht="16.05" customHeight="1">
      <c r="A82" s="81">
        <v>2007</v>
      </c>
      <c r="B82" s="81">
        <v>1468.36</v>
      </c>
      <c r="C82" s="85">
        <v>27.73</v>
      </c>
      <c r="D82" s="83">
        <f t="shared" si="11"/>
        <v>5.4847352464217701E-2</v>
      </c>
      <c r="E82" s="82">
        <f t="shared" si="12"/>
        <v>1.8885014574082652E-2</v>
      </c>
      <c r="F82" s="82">
        <v>4.02E-2</v>
      </c>
      <c r="G82" s="75">
        <f t="shared" si="13"/>
        <v>0.10209921930012807</v>
      </c>
      <c r="H82" s="82">
        <v>5.4600000000000003E-2</v>
      </c>
      <c r="I82" s="75">
        <f t="shared" si="14"/>
        <v>3.7495782311379865E-2</v>
      </c>
      <c r="J82" s="82">
        <v>6.3500000000000001E-2</v>
      </c>
      <c r="K82" s="75">
        <f t="shared" si="15"/>
        <v>5.1964610076620635E-2</v>
      </c>
      <c r="L82" s="75">
        <v>1.7334140261067166E-2</v>
      </c>
    </row>
    <row r="83" spans="1:12" ht="16.05" customHeight="1">
      <c r="A83" s="81">
        <v>2008</v>
      </c>
      <c r="B83" s="81">
        <v>903.25</v>
      </c>
      <c r="C83" s="85">
        <v>28.39</v>
      </c>
      <c r="D83" s="83">
        <f t="shared" si="11"/>
        <v>-0.36552344111798191</v>
      </c>
      <c r="E83" s="82">
        <f t="shared" si="12"/>
        <v>3.1430943814004984E-2</v>
      </c>
      <c r="F83" s="82">
        <v>2.2100000000000002E-2</v>
      </c>
      <c r="G83" s="75">
        <f t="shared" si="13"/>
        <v>0.20101279926977011</v>
      </c>
      <c r="H83" s="82">
        <v>5.4100000000000002E-2</v>
      </c>
      <c r="I83" s="75">
        <f t="shared" si="14"/>
        <v>5.8385135983344959E-2</v>
      </c>
      <c r="J83" s="82">
        <v>6.5599999999999992E-2</v>
      </c>
      <c r="K83" s="75">
        <f t="shared" si="15"/>
        <v>4.8445754357525184E-2</v>
      </c>
      <c r="L83" s="75">
        <v>-5.3981629545541421E-2</v>
      </c>
    </row>
    <row r="84" spans="1:12" ht="16.05" customHeight="1">
      <c r="A84" s="81">
        <v>2009</v>
      </c>
      <c r="B84" s="81">
        <v>1115.0999999999999</v>
      </c>
      <c r="C84" s="85">
        <v>22.41</v>
      </c>
      <c r="D84" s="83">
        <f t="shared" si="11"/>
        <v>0.25935233877663988</v>
      </c>
      <c r="E84" s="82">
        <f t="shared" si="12"/>
        <v>2.0096852300242132E-2</v>
      </c>
      <c r="F84" s="82">
        <v>3.8399999999999997E-2</v>
      </c>
      <c r="G84" s="75">
        <f t="shared" si="13"/>
        <v>-0.11116695313259162</v>
      </c>
      <c r="H84" s="82">
        <v>4.7E-2</v>
      </c>
      <c r="I84" s="75">
        <f t="shared" si="14"/>
        <v>0.10973190704363375</v>
      </c>
      <c r="J84" s="82">
        <v>8.0700000000000008E-2</v>
      </c>
      <c r="K84" s="75">
        <f t="shared" si="15"/>
        <v>-3.540309867144642E-2</v>
      </c>
      <c r="L84" s="75">
        <v>-0.11995638578961343</v>
      </c>
    </row>
    <row r="85" spans="1:12" ht="16.05" customHeight="1">
      <c r="A85" s="81">
        <v>2010</v>
      </c>
      <c r="B85" s="81">
        <v>1257.6400000000001</v>
      </c>
      <c r="C85" s="85">
        <v>22.73</v>
      </c>
      <c r="D85" s="83">
        <f t="shared" si="11"/>
        <v>0.14821092278719417</v>
      </c>
      <c r="E85" s="82">
        <f t="shared" si="12"/>
        <v>1.8073534556788905E-2</v>
      </c>
      <c r="F85" s="82">
        <v>3.2899999999999999E-2</v>
      </c>
      <c r="G85" s="75">
        <f t="shared" si="13"/>
        <v>8.4629338803557719E-2</v>
      </c>
      <c r="H85" s="82">
        <v>5.33E-2</v>
      </c>
      <c r="I85" s="75">
        <f t="shared" si="14"/>
        <v>-8.7666626810571635E-4</v>
      </c>
      <c r="J85" s="82">
        <v>6.3899999999999998E-2</v>
      </c>
      <c r="K85" s="75">
        <f t="shared" si="15"/>
        <v>0.20209649577883115</v>
      </c>
      <c r="L85" s="75">
        <v>-3.8552558261496617E-2</v>
      </c>
    </row>
    <row r="86" spans="1:12" ht="16.05" customHeight="1">
      <c r="A86" s="81">
        <v>2011</v>
      </c>
      <c r="B86" s="81">
        <v>1257.5999999999999</v>
      </c>
      <c r="C86" s="85">
        <v>26.43</v>
      </c>
      <c r="D86" s="83">
        <f t="shared" si="11"/>
        <v>2.0983747336280549E-2</v>
      </c>
      <c r="E86" s="82">
        <f t="shared" si="12"/>
        <v>2.1016221374045803E-2</v>
      </c>
      <c r="F86" s="82">
        <v>1.8800000000000001E-2</v>
      </c>
      <c r="G86" s="75">
        <f t="shared" si="13"/>
        <v>0.16035334999461354</v>
      </c>
      <c r="H86" s="82">
        <v>4.8799999999999996E-2</v>
      </c>
      <c r="I86" s="75">
        <f t="shared" si="14"/>
        <v>8.8251194876807534E-2</v>
      </c>
      <c r="J86" s="82">
        <v>5.9800000000000006E-2</v>
      </c>
      <c r="K86" s="75">
        <f t="shared" si="15"/>
        <v>9.4104971085132647E-2</v>
      </c>
      <c r="L86" s="75">
        <v>-4.1128020509463736E-2</v>
      </c>
    </row>
    <row r="87" spans="1:12" ht="16.05" customHeight="1">
      <c r="A87" s="81">
        <v>2012</v>
      </c>
      <c r="B87" s="81">
        <v>1426.19</v>
      </c>
      <c r="C87" s="85">
        <v>31.25</v>
      </c>
      <c r="D87" s="83">
        <f t="shared" si="11"/>
        <v>0.15890585241730293</v>
      </c>
      <c r="E87" s="82">
        <f t="shared" si="12"/>
        <v>2.1911526514700005E-2</v>
      </c>
      <c r="F87" s="82">
        <v>1.7600000000000001E-2</v>
      </c>
      <c r="G87" s="75">
        <f t="shared" si="13"/>
        <v>2.971571978018946E-2</v>
      </c>
      <c r="H87" s="82">
        <v>3.7699999999999997E-2</v>
      </c>
      <c r="I87" s="75">
        <f t="shared" si="14"/>
        <v>0.13987067842780126</v>
      </c>
      <c r="J87" s="82">
        <v>5.16E-2</v>
      </c>
      <c r="K87" s="75">
        <f t="shared" si="15"/>
        <v>0.12262911319384322</v>
      </c>
      <c r="L87" s="75">
        <v>-3.8853177086296098E-2</v>
      </c>
    </row>
    <row r="88" spans="1:12" ht="16.05" customHeight="1">
      <c r="A88" s="81">
        <v>2013</v>
      </c>
      <c r="B88" s="81">
        <v>1848.36</v>
      </c>
      <c r="C88" s="85">
        <v>36.28</v>
      </c>
      <c r="D88" s="83">
        <f t="shared" si="11"/>
        <v>0.32145085858125483</v>
      </c>
      <c r="E88" s="82">
        <f t="shared" si="12"/>
        <v>1.962821095457595E-2</v>
      </c>
      <c r="F88" s="82">
        <v>3.0360000000000002E-2</v>
      </c>
      <c r="G88" s="75">
        <f t="shared" si="13"/>
        <v>-9.104568794347262E-2</v>
      </c>
      <c r="H88" s="82">
        <v>3.6699999999999997E-2</v>
      </c>
      <c r="I88" s="75">
        <f t="shared" si="14"/>
        <v>4.5945797286168696E-2</v>
      </c>
      <c r="J88" s="82">
        <v>4.6300000000000001E-2</v>
      </c>
      <c r="K88" s="75">
        <f t="shared" si="15"/>
        <v>9.3270633454791169E-2</v>
      </c>
      <c r="L88" s="75">
        <v>6.4371744791666519E-2</v>
      </c>
    </row>
    <row r="89" spans="1:12" ht="16.05" customHeight="1">
      <c r="A89" s="81">
        <v>2014</v>
      </c>
      <c r="B89" s="87">
        <v>2058.9</v>
      </c>
      <c r="C89" s="86">
        <v>39.44</v>
      </c>
      <c r="D89" s="83">
        <f t="shared" si="11"/>
        <v>0.1352442164946224</v>
      </c>
      <c r="E89" s="82">
        <f t="shared" si="12"/>
        <v>1.9155859925202776E-2</v>
      </c>
      <c r="F89" s="82">
        <v>2.1700000000000001E-2</v>
      </c>
      <c r="G89" s="75">
        <f t="shared" si="13"/>
        <v>0.10746180452004755</v>
      </c>
      <c r="H89" s="82">
        <v>4.5700000000000005E-2</v>
      </c>
      <c r="I89" s="75">
        <f t="shared" si="14"/>
        <v>-3.4269994347688473E-2</v>
      </c>
      <c r="J89" s="82">
        <v>5.3699999999999998E-2</v>
      </c>
      <c r="K89" s="75">
        <f t="shared" si="15"/>
        <v>-9.8278909816801388E-3</v>
      </c>
      <c r="L89" s="75">
        <v>0.1071321827495848</v>
      </c>
    </row>
    <row r="90" spans="1:12" ht="16.05" customHeight="1">
      <c r="A90" s="81">
        <v>2015</v>
      </c>
      <c r="B90" s="81">
        <v>2043.9</v>
      </c>
      <c r="C90" s="85">
        <v>43.39</v>
      </c>
      <c r="D90" s="83">
        <f t="shared" si="11"/>
        <v>1.3788916411676075E-2</v>
      </c>
      <c r="E90" s="82">
        <f t="shared" si="12"/>
        <v>2.1229022946328096E-2</v>
      </c>
      <c r="F90" s="82">
        <v>2.2700000000000001E-2</v>
      </c>
      <c r="G90" s="75">
        <f t="shared" si="13"/>
        <v>1.2842996709792224E-2</v>
      </c>
      <c r="H90" s="82">
        <v>3.7200000000000004E-2</v>
      </c>
      <c r="I90" s="75">
        <f t="shared" si="14"/>
        <v>0.11561371395416591</v>
      </c>
      <c r="J90" s="82">
        <v>4.6799999999999994E-2</v>
      </c>
      <c r="K90" s="75">
        <f t="shared" si="15"/>
        <v>0.10781775226724913</v>
      </c>
      <c r="L90" s="75">
        <v>4.5071006140053216E-2</v>
      </c>
    </row>
    <row r="91" spans="1:12" ht="16.05" customHeight="1">
      <c r="A91" s="81">
        <v>2016</v>
      </c>
      <c r="B91" s="81">
        <v>2238.83</v>
      </c>
      <c r="C91" s="85">
        <v>45.7</v>
      </c>
      <c r="D91" s="83">
        <f t="shared" si="11"/>
        <v>0.11773080874798163</v>
      </c>
      <c r="E91" s="82">
        <f t="shared" si="12"/>
        <v>2.0412447573062719E-2</v>
      </c>
      <c r="F91" s="82">
        <v>2.4500000000000001E-2</v>
      </c>
      <c r="G91" s="75">
        <f t="shared" si="13"/>
        <v>6.9055046987477921E-3</v>
      </c>
      <c r="H91" s="82">
        <v>4.0399999999999998E-2</v>
      </c>
      <c r="I91" s="75">
        <f t="shared" si="14"/>
        <v>1.1296739256083758E-2</v>
      </c>
      <c r="J91" s="82">
        <v>5.5E-2</v>
      </c>
      <c r="K91" s="75">
        <f t="shared" si="15"/>
        <v>-1.5008531794429472E-2</v>
      </c>
      <c r="L91" s="75">
        <v>5.2000168207568365E-2</v>
      </c>
    </row>
    <row r="92" spans="1:12" ht="16.05" customHeight="1">
      <c r="A92" s="81">
        <v>2017</v>
      </c>
      <c r="B92" s="81">
        <v>2673.61</v>
      </c>
      <c r="C92" s="84">
        <v>48.93</v>
      </c>
      <c r="D92" s="83">
        <f t="shared" si="11"/>
        <v>0.21605481434499271</v>
      </c>
      <c r="E92" s="82">
        <f t="shared" si="12"/>
        <v>1.830109851474224E-2</v>
      </c>
      <c r="F92" s="82">
        <v>2.41E-2</v>
      </c>
      <c r="G92" s="75">
        <v>6.9055046987477921E-3</v>
      </c>
      <c r="H92" s="82">
        <v>3.9800000000000002E-2</v>
      </c>
      <c r="I92" s="75">
        <f t="shared" si="14"/>
        <v>4.527138634381745E-2</v>
      </c>
      <c r="J92" s="82">
        <v>4.7300000000000002E-2</v>
      </c>
      <c r="K92" s="75">
        <f t="shared" si="15"/>
        <v>0.115244739105062</v>
      </c>
      <c r="L92" s="75">
        <v>5.3044535938829185E-2</v>
      </c>
    </row>
    <row r="93" spans="1:12" ht="16.05" customHeight="1">
      <c r="A93" s="81">
        <v>2018</v>
      </c>
      <c r="B93" s="81">
        <v>2506.85</v>
      </c>
      <c r="C93" s="84">
        <v>53.75</v>
      </c>
      <c r="D93" s="83">
        <f t="shared" si="11"/>
        <v>-4.2268692890885438E-2</v>
      </c>
      <c r="E93" s="82">
        <f t="shared" si="12"/>
        <v>2.1441250972335801E-2</v>
      </c>
      <c r="F93" s="82">
        <v>2.41E-2</v>
      </c>
      <c r="G93" s="75">
        <v>2.8017162707789457E-2</v>
      </c>
      <c r="H93" s="82">
        <v>3.4500000000000003E-2</v>
      </c>
      <c r="I93" s="75">
        <f t="shared" si="14"/>
        <v>8.3989301597879817E-2</v>
      </c>
      <c r="J93" s="82">
        <v>4.1700000000000001E-2</v>
      </c>
      <c r="K93" s="75">
        <f t="shared" si="15"/>
        <v>9.2339050572547543E-2</v>
      </c>
      <c r="L93" s="75">
        <v>6.2069563897053426E-2</v>
      </c>
    </row>
    <row r="94" spans="1:12" ht="16.05" customHeight="1">
      <c r="A94" s="81">
        <v>2019</v>
      </c>
      <c r="B94" s="81">
        <v>3230.78</v>
      </c>
      <c r="C94" s="84">
        <v>58.5</v>
      </c>
      <c r="D94" s="83">
        <f t="shared" si="11"/>
        <v>0.31211679996808755</v>
      </c>
      <c r="E94" s="82">
        <f t="shared" si="12"/>
        <v>1.810708250020119E-2</v>
      </c>
      <c r="F94" s="82">
        <v>1.9199999999999998E-2</v>
      </c>
      <c r="G94" s="75">
        <v>-1.6692385713402633E-4</v>
      </c>
      <c r="H94" s="82">
        <v>3.9900000000000005E-2</v>
      </c>
      <c r="I94" s="75">
        <f t="shared" si="14"/>
        <v>-9.3206490111103768E-3</v>
      </c>
      <c r="J94" s="82">
        <v>5.1399999999999994E-2</v>
      </c>
      <c r="K94" s="75">
        <f t="shared" si="15"/>
        <v>-3.2694196838362347E-2</v>
      </c>
      <c r="L94" s="75">
        <v>4.5192288054245022E-2</v>
      </c>
    </row>
    <row r="95" spans="1:12" ht="16.05" customHeight="1">
      <c r="A95" s="81">
        <v>2020</v>
      </c>
      <c r="B95" s="81">
        <v>3756.07</v>
      </c>
      <c r="C95" s="84">
        <v>57</v>
      </c>
      <c r="D95" s="83">
        <f t="shared" si="11"/>
        <v>0.18023201827422478</v>
      </c>
      <c r="E95" s="82">
        <f t="shared" si="12"/>
        <v>1.5175436027550072E-2</v>
      </c>
      <c r="F95" s="82">
        <v>9.2999999999999992E-3</v>
      </c>
      <c r="G95" s="75">
        <v>9.6356307415483927E-2</v>
      </c>
      <c r="H95" s="82">
        <v>3.04E-2</v>
      </c>
      <c r="I95" s="75">
        <f t="shared" si="14"/>
        <v>0.12077175238825984</v>
      </c>
      <c r="J95" s="82">
        <v>3.9E-2</v>
      </c>
      <c r="K95" s="75">
        <f t="shared" si="15"/>
        <v>0.15247765775278477</v>
      </c>
      <c r="L95" s="75">
        <v>3.685827760218463E-2</v>
      </c>
    </row>
    <row r="96" spans="1:12" ht="16.05" customHeight="1">
      <c r="A96" s="81">
        <v>2021</v>
      </c>
      <c r="B96" s="81">
        <v>4766.18</v>
      </c>
      <c r="C96" s="84">
        <v>59.2</v>
      </c>
      <c r="D96" s="83">
        <f t="shared" si="11"/>
        <v>0.28468851751964153</v>
      </c>
      <c r="E96" s="82">
        <f t="shared" si="12"/>
        <v>1.2420848562160892E-2</v>
      </c>
      <c r="F96" s="82">
        <v>1.5100000000000001E-2</v>
      </c>
      <c r="G96" s="75">
        <v>0.1133189764661412</v>
      </c>
      <c r="H96" s="82">
        <v>2.23E-2</v>
      </c>
      <c r="I96" s="75">
        <f t="shared" si="14"/>
        <v>0.10229109308473851</v>
      </c>
      <c r="J96" s="82">
        <v>3.1099999999999999E-2</v>
      </c>
      <c r="K96" s="75">
        <f t="shared" si="15"/>
        <v>0.10601187472880466</v>
      </c>
      <c r="L96" s="75">
        <v>0.10432135991858571</v>
      </c>
    </row>
    <row r="97" spans="1:13" ht="16.05" customHeight="1">
      <c r="A97" s="81">
        <v>2022</v>
      </c>
      <c r="B97" s="81">
        <v>3839.5</v>
      </c>
      <c r="C97" s="84">
        <v>66.98</v>
      </c>
      <c r="D97" s="83">
        <f t="shared" ref="D97:D99" si="16">((B97+C97)-B96)/B96</f>
        <v>-0.18037505927178585</v>
      </c>
      <c r="E97" s="82">
        <f t="shared" si="12"/>
        <v>1.744497981508009E-2</v>
      </c>
      <c r="F97" s="82">
        <v>3.8800000000000001E-2</v>
      </c>
      <c r="G97" s="75">
        <v>-4.416034448604475E-2</v>
      </c>
      <c r="H97" s="82">
        <v>2.7099999999999999E-2</v>
      </c>
      <c r="I97" s="75">
        <f t="shared" si="14"/>
        <v>-1.9257683971225945E-2</v>
      </c>
      <c r="J97" s="82">
        <v>3.3700000000000001E-2</v>
      </c>
      <c r="K97" s="75">
        <f t="shared" si="15"/>
        <v>9.3344457198752777E-3</v>
      </c>
      <c r="L97" s="75">
        <v>0.18874952003071788</v>
      </c>
    </row>
    <row r="98" spans="1:13" ht="16.05" customHeight="1">
      <c r="A98" s="81">
        <v>2023</v>
      </c>
      <c r="B98" s="81">
        <v>4769.8</v>
      </c>
      <c r="C98" s="84">
        <v>70.3</v>
      </c>
      <c r="D98" s="83">
        <f t="shared" si="16"/>
        <v>0.26060684985024102</v>
      </c>
      <c r="E98" s="82">
        <f t="shared" si="12"/>
        <v>1.4738563461780367E-2</v>
      </c>
      <c r="F98" s="82">
        <v>3.8800000000000001E-2</v>
      </c>
      <c r="G98" s="75">
        <v>-0.1782817153825067</v>
      </c>
      <c r="H98" s="82">
        <v>4.7E-2</v>
      </c>
      <c r="I98" s="75">
        <f t="shared" si="14"/>
        <v>-0.12882604931948061</v>
      </c>
      <c r="J98" s="82">
        <v>5.8700000000000002E-2</v>
      </c>
      <c r="K98" s="75">
        <f t="shared" si="15"/>
        <v>-0.15144078553554258</v>
      </c>
      <c r="L98" s="75">
        <v>5.667711058712066E-2</v>
      </c>
    </row>
    <row r="99" spans="1:13" ht="16.05" customHeight="1">
      <c r="A99" s="81">
        <v>2024</v>
      </c>
      <c r="B99" s="81">
        <v>5881.63</v>
      </c>
      <c r="C99" s="84">
        <v>74.83</v>
      </c>
      <c r="D99" s="83">
        <f t="shared" si="16"/>
        <v>0.24878611262526726</v>
      </c>
      <c r="E99" s="82">
        <f t="shared" si="12"/>
        <v>1.2722663615358327E-2</v>
      </c>
      <c r="F99" s="82">
        <v>4.58E-2</v>
      </c>
      <c r="G99" s="75">
        <v>3.8800000000000001E-2</v>
      </c>
      <c r="H99" s="82">
        <v>4.6500000000000007E-2</v>
      </c>
      <c r="I99" s="75">
        <f t="shared" ref="I99" si="17">((H98*(1-(1+H99)^(-10))/H99+1/(1+H99)^10)-1)+H98</f>
        <v>5.0927341345951074E-2</v>
      </c>
      <c r="J99" s="82">
        <v>5.4900000000000004E-2</v>
      </c>
      <c r="K99" s="75">
        <f t="shared" ref="K99" si="18">((J98*(1-(1+J99)^(-10))/J99+1/(1+J99)^10)-1)+J98</f>
        <v>8.7356722013658433E-2</v>
      </c>
      <c r="L99" s="75">
        <v>5.6371275341936755E-2</v>
      </c>
    </row>
    <row r="100" spans="1:13" ht="16.05" customHeight="1">
      <c r="A100" s="81">
        <v>2025</v>
      </c>
      <c r="B100" s="81">
        <v>6845.5</v>
      </c>
      <c r="C100" s="80">
        <v>78.569999999999993</v>
      </c>
      <c r="D100" s="77">
        <v>1.34E-2</v>
      </c>
      <c r="E100" s="79">
        <v>4.1200000000000001E-2</v>
      </c>
      <c r="F100" s="79">
        <v>7.8E-2</v>
      </c>
      <c r="G100" s="78">
        <v>5.3100000000000001E-2</v>
      </c>
      <c r="H100" s="77">
        <v>6.08E-2</v>
      </c>
      <c r="I100" s="76">
        <v>5.8700000000000002E-2</v>
      </c>
      <c r="J100" s="77">
        <v>6.9599999999999995E-2</v>
      </c>
      <c r="K100" s="76">
        <v>1.5800000000000002E-2</v>
      </c>
      <c r="L100" s="75"/>
      <c r="M100" s="10"/>
    </row>
    <row r="102" spans="1:13" ht="16.05" customHeight="1">
      <c r="A102" t="s">
        <v>205</v>
      </c>
      <c r="D102" s="12">
        <f>AVERAGE(D3:D100)</f>
        <v>0.11687470873732791</v>
      </c>
      <c r="E102" s="12"/>
      <c r="F102" s="12">
        <f>AVERAGE(F3:F100)</f>
        <v>4.7997551020408154E-2</v>
      </c>
    </row>
    <row r="103" spans="1:13" ht="16.05" customHeight="1">
      <c r="A103" t="s">
        <v>206</v>
      </c>
      <c r="D103" s="12" cm="1">
        <f t="array" ref="D103">GEOMEAN(1+D3:D100)-1</f>
        <v>9.8496074746600826E-2</v>
      </c>
      <c r="E103" s="12"/>
      <c r="F103" s="12" cm="1">
        <f t="array" ref="F103">GEOMEAN(1+F3:F100)-1</f>
        <v>4.7653376885175236E-2</v>
      </c>
    </row>
    <row r="105" spans="1:13" ht="16.05" customHeight="1">
      <c r="A105" t="s">
        <v>207</v>
      </c>
      <c r="D105" s="12">
        <f>D102-F102</f>
        <v>6.8877157716919768E-2</v>
      </c>
    </row>
    <row r="106" spans="1:13" ht="16.05" customHeight="1">
      <c r="A106" t="s">
        <v>208</v>
      </c>
      <c r="D106" s="12">
        <f>D103-F103</f>
        <v>5.084269786142559E-2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480DC-B5BA-46E8-93A6-FB65A64EDE57}">
  <sheetPr>
    <tabColor theme="5" tint="0.79998168889431442"/>
  </sheetPr>
  <dimension ref="A1:Q105"/>
  <sheetViews>
    <sheetView showGridLines="0" workbookViewId="0">
      <selection activeCell="J33" sqref="J33"/>
    </sheetView>
  </sheetViews>
  <sheetFormatPr defaultColWidth="16.77734375" defaultRowHeight="16.05" customHeight="1"/>
  <cols>
    <col min="1" max="1" width="9.109375" bestFit="1" customWidth="1"/>
  </cols>
  <sheetData>
    <row r="1" spans="1:17" ht="30" customHeight="1">
      <c r="A1" t="s">
        <v>209</v>
      </c>
      <c r="B1" s="118">
        <v>43252</v>
      </c>
    </row>
    <row r="2" spans="1:17" ht="15" customHeight="1">
      <c r="A2" t="s">
        <v>210</v>
      </c>
      <c r="B2" s="118">
        <f ca="1">TODAY()</f>
        <v>46259</v>
      </c>
    </row>
    <row r="3" spans="1:17" ht="16.05" customHeight="1">
      <c r="B3" s="118"/>
    </row>
    <row r="4" spans="1:17" ht="16.05" customHeight="1">
      <c r="A4" s="512" t="s">
        <v>211</v>
      </c>
      <c r="B4" s="512"/>
      <c r="C4" s="512"/>
      <c r="D4" s="512"/>
      <c r="E4" s="512"/>
      <c r="F4" s="512"/>
      <c r="G4" s="512"/>
      <c r="H4" s="512"/>
    </row>
    <row r="5" spans="1:17" ht="16.05" customHeight="1">
      <c r="B5" t="e" vm="1">
        <v>#VALUE!</v>
      </c>
      <c r="C5" t="e" vm="2">
        <v>#VALUE!</v>
      </c>
      <c r="D5" t="e" vm="3">
        <v>#VALUE!</v>
      </c>
      <c r="E5" t="e" vm="4">
        <v>#VALUE!</v>
      </c>
      <c r="F5" t="e" vm="5">
        <v>#VALUE!</v>
      </c>
      <c r="G5" t="e" vm="6">
        <v>#VALUE!</v>
      </c>
      <c r="H5" t="e" vm="7">
        <v>#VALUE!</v>
      </c>
      <c r="J5" s="512" t="s">
        <v>212</v>
      </c>
      <c r="K5" s="512"/>
      <c r="L5" s="512"/>
      <c r="M5" s="512"/>
      <c r="N5" s="512"/>
      <c r="O5" s="512"/>
      <c r="P5" s="512"/>
      <c r="Q5" s="512"/>
    </row>
    <row r="6" spans="1:17" ht="16.05" customHeight="1" thickBot="1">
      <c r="A6" s="128" t="s">
        <v>213</v>
      </c>
      <c r="B6" s="128" t="s">
        <v>214</v>
      </c>
      <c r="C6" s="128" t="s">
        <v>215</v>
      </c>
      <c r="D6" s="128" t="s">
        <v>216</v>
      </c>
      <c r="E6" s="128" t="s">
        <v>217</v>
      </c>
      <c r="F6" s="128" t="s">
        <v>218</v>
      </c>
      <c r="G6" s="128" t="s">
        <v>219</v>
      </c>
      <c r="H6" s="128" t="s">
        <v>220</v>
      </c>
      <c r="J6" s="128" t="s">
        <v>213</v>
      </c>
      <c r="K6" s="128" t="s">
        <v>214</v>
      </c>
      <c r="L6" s="128" t="s">
        <v>215</v>
      </c>
      <c r="M6" s="128" t="s">
        <v>216</v>
      </c>
      <c r="N6" s="128" t="s">
        <v>217</v>
      </c>
      <c r="O6" s="128" t="s">
        <v>218</v>
      </c>
      <c r="P6" s="128" t="s">
        <v>219</v>
      </c>
      <c r="Q6" s="128" t="s">
        <v>220</v>
      </c>
    </row>
    <row r="7" spans="1:17" ht="16.05" customHeight="1">
      <c r="A7" cm="1" vm="8">
        <f t="array" aca="1" ref="A7:B105" ca="1">_xlfn.STOCKHISTORY(B5,B1,B2,2,0)</f>
        <v>43252</v>
      </c>
      <c r="B7" s="64" vm="9">
        <f ca="1"/>
        <v>9.8000000000000007</v>
      </c>
      <c r="C7" s="64" cm="1" vm="10">
        <f t="array" aca="1" ref="C7:C105" ca="1">_xlfn.STOCKHISTORY(C5,$B$1,$B$2,2,0,1)</f>
        <v>50.448799999999999</v>
      </c>
      <c r="D7" s="64" cm="1" vm="11">
        <f t="array" aca="1" ref="D7:D105" ca="1">_xlfn.STOCKHISTORY(D5,$B$1,$B$2,2,0,1)</f>
        <v>31.55</v>
      </c>
      <c r="E7" s="64" cm="1" vm="12">
        <f t="array" aca="1" ref="E7:E105" ca="1">_xlfn.STOCKHISTORY(E5,$B$1,$B$2,2,0,1)</f>
        <v>21.975000000000001</v>
      </c>
      <c r="F7" s="64" cm="1" vm="13">
        <f t="array" aca="1" ref="F7:F102" ca="1">_xlfn.STOCKHISTORY(F5,$B$1,$B$2,2,0,1)</f>
        <v>16.36</v>
      </c>
      <c r="G7" s="64" cm="1" vm="14">
        <f t="array" aca="1" ref="G7:G105" ca="1">_xlfn.STOCKHISTORY(G5,$B$1,$B$2,2,0,1)</f>
        <v>41</v>
      </c>
      <c r="H7" s="64" cm="1" vm="15">
        <f t="array" aca="1" ref="H7:H105" ca="1">_xlfn.STOCKHISTORY(H5,$B$1,$B$2,2,0,1)</f>
        <v>28.75</v>
      </c>
      <c r="J7" vm="8">
        <v>43252</v>
      </c>
      <c r="K7" s="119">
        <f ca="1">B7*(100/B7)</f>
        <v>100</v>
      </c>
      <c r="L7" s="119">
        <f ca="1">C7*(100/$C$7)</f>
        <v>100</v>
      </c>
      <c r="M7" s="119">
        <f ca="1">D7*(100/$D$7)</f>
        <v>100</v>
      </c>
      <c r="N7" s="119">
        <f ca="1">E7*(100/$E$7)</f>
        <v>100</v>
      </c>
      <c r="O7" s="119">
        <f ca="1">F7*(100/$F$7)</f>
        <v>100</v>
      </c>
      <c r="P7" s="119">
        <f ca="1">G7*(100/$G$7)</f>
        <v>100</v>
      </c>
      <c r="Q7" s="119">
        <f ca="1">H7*(100/$H$7)</f>
        <v>100</v>
      </c>
    </row>
    <row r="8" spans="1:17" ht="16.05" customHeight="1">
      <c r="A8" vm="16">
        <f ca="1"/>
        <v>43282</v>
      </c>
      <c r="B8" s="64" vm="17">
        <f ca="1"/>
        <v>9.6999999999999993</v>
      </c>
      <c r="C8" s="64" vm="18">
        <f ca="1"/>
        <v>50.227800000000002</v>
      </c>
      <c r="D8" s="64" vm="19">
        <f ca="1"/>
        <v>30.5</v>
      </c>
      <c r="E8" s="64" vm="20">
        <f ca="1"/>
        <v>21.574999999999999</v>
      </c>
      <c r="F8" s="64" vm="21">
        <f ca="1"/>
        <v>14.17</v>
      </c>
      <c r="G8" s="64" vm="22">
        <f ca="1"/>
        <v>43.7</v>
      </c>
      <c r="H8" s="64" vm="23">
        <f ca="1"/>
        <v>28.49</v>
      </c>
      <c r="J8" vm="16">
        <v>43282</v>
      </c>
      <c r="K8" s="119">
        <f ca="1">B8*(100/$B$7)</f>
        <v>98.979591836734684</v>
      </c>
      <c r="L8" s="119">
        <f ca="1">C8*(100/$C$7)</f>
        <v>99.561932097492914</v>
      </c>
      <c r="M8" s="119">
        <f ca="1">D8*(100/$D$7)</f>
        <v>96.671949286846271</v>
      </c>
      <c r="N8" s="119">
        <f ca="1">E8*(100/$E$7)</f>
        <v>98.179749715585885</v>
      </c>
      <c r="O8" s="119">
        <f ca="1">F8*(100/$F$7)</f>
        <v>86.613691931540345</v>
      </c>
      <c r="P8" s="119">
        <f ca="1">G8*(100/$G$7)</f>
        <v>106.58536585365854</v>
      </c>
      <c r="Q8" s="119">
        <f ca="1">H8*(100/$H$7)</f>
        <v>99.095652173913038</v>
      </c>
    </row>
    <row r="9" spans="1:17" ht="16.05" customHeight="1">
      <c r="A9" vm="24">
        <f ca="1"/>
        <v>43313</v>
      </c>
      <c r="B9" s="64" vm="25">
        <f ca="1"/>
        <v>10.45</v>
      </c>
      <c r="C9" s="64" vm="26">
        <f ca="1"/>
        <v>49.651299999999999</v>
      </c>
      <c r="D9" s="64" vm="27">
        <f ca="1"/>
        <v>29.25</v>
      </c>
      <c r="E9" s="64" vm="20">
        <f ca="1"/>
        <v>21.574999999999999</v>
      </c>
      <c r="F9" s="64" vm="28">
        <f ca="1"/>
        <v>14.49</v>
      </c>
      <c r="G9" s="64" vm="29">
        <f ca="1"/>
        <v>44.51</v>
      </c>
      <c r="H9" s="64" vm="30">
        <f ca="1"/>
        <v>27.95</v>
      </c>
      <c r="J9" vm="24">
        <v>43313</v>
      </c>
      <c r="K9" s="119">
        <f t="shared" ref="K9:K72" ca="1" si="0">B9*(100/$B$7)</f>
        <v>106.63265306122447</v>
      </c>
      <c r="L9" s="119">
        <f t="shared" ref="L9:L72" ca="1" si="1">C9*(100/$C$7)</f>
        <v>98.419189356337512</v>
      </c>
      <c r="M9" s="119">
        <f t="shared" ref="M9:M72" ca="1" si="2">D9*(100/$D$7)</f>
        <v>92.709984152139469</v>
      </c>
      <c r="N9" s="119">
        <f t="shared" ref="N9:N72" ca="1" si="3">E9*(100/$E$7)</f>
        <v>98.179749715585885</v>
      </c>
      <c r="O9" s="119">
        <f t="shared" ref="O9:O72" ca="1" si="4">F9*(100/$F$7)</f>
        <v>88.569682151589248</v>
      </c>
      <c r="P9" s="119">
        <f t="shared" ref="P9:P72" ca="1" si="5">G9*(100/$G$7)</f>
        <v>108.56097560975608</v>
      </c>
      <c r="Q9" s="119">
        <f t="shared" ref="Q9:Q72" ca="1" si="6">H9*(100/$H$7)</f>
        <v>97.217391304347828</v>
      </c>
    </row>
    <row r="10" spans="1:17" ht="16.05" customHeight="1">
      <c r="A10" vm="31">
        <f ca="1"/>
        <v>43344</v>
      </c>
      <c r="B10" s="64" vm="32">
        <f ca="1"/>
        <v>10.1</v>
      </c>
      <c r="C10" s="64" vm="33">
        <f ca="1"/>
        <v>44.8658</v>
      </c>
      <c r="D10" s="64" vm="34">
        <f ca="1"/>
        <v>26.25</v>
      </c>
      <c r="E10" s="64" vm="35">
        <f ca="1"/>
        <v>19.95</v>
      </c>
      <c r="F10" s="64" vm="36">
        <f ca="1"/>
        <v>12.4</v>
      </c>
      <c r="G10" s="64" vm="37">
        <f ca="1"/>
        <v>42.18</v>
      </c>
      <c r="H10" s="64" vm="38">
        <f ca="1"/>
        <v>24.77</v>
      </c>
      <c r="J10" vm="31">
        <v>43344</v>
      </c>
      <c r="K10" s="119">
        <f t="shared" ca="1" si="0"/>
        <v>103.06122448979592</v>
      </c>
      <c r="L10" s="119">
        <f t="shared" ca="1" si="1"/>
        <v>88.93333439051078</v>
      </c>
      <c r="M10" s="119">
        <f t="shared" ca="1" si="2"/>
        <v>83.201267828843115</v>
      </c>
      <c r="N10" s="119">
        <f t="shared" ca="1" si="3"/>
        <v>90.784982935153579</v>
      </c>
      <c r="O10" s="119">
        <f t="shared" ca="1" si="4"/>
        <v>75.794621026894873</v>
      </c>
      <c r="P10" s="119">
        <f t="shared" ca="1" si="5"/>
        <v>102.8780487804878</v>
      </c>
      <c r="Q10" s="119">
        <f t="shared" ca="1" si="6"/>
        <v>86.156521739130426</v>
      </c>
    </row>
    <row r="11" spans="1:17" ht="16.05" customHeight="1">
      <c r="A11" vm="39">
        <f ca="1"/>
        <v>43374</v>
      </c>
      <c r="B11" s="64" vm="40">
        <f ca="1"/>
        <v>9.4</v>
      </c>
      <c r="C11" s="64" vm="41">
        <f ca="1"/>
        <v>41.300800000000002</v>
      </c>
      <c r="D11" s="64" vm="42">
        <f ca="1"/>
        <v>21.22</v>
      </c>
      <c r="E11" s="64" vm="43">
        <f ca="1"/>
        <v>18.625</v>
      </c>
      <c r="F11" s="64" vm="44">
        <f ca="1"/>
        <v>11.9</v>
      </c>
      <c r="G11" s="64" vm="45">
        <f ca="1"/>
        <v>35.96</v>
      </c>
      <c r="H11" s="64" vm="46">
        <f ca="1"/>
        <v>24.57</v>
      </c>
      <c r="J11" vm="39">
        <v>43374</v>
      </c>
      <c r="K11" s="119">
        <f t="shared" ca="1" si="0"/>
        <v>95.91836734693878</v>
      </c>
      <c r="L11" s="119">
        <f t="shared" ca="1" si="1"/>
        <v>81.866763926991339</v>
      </c>
      <c r="M11" s="119">
        <f t="shared" ca="1" si="2"/>
        <v>67.258320126782877</v>
      </c>
      <c r="N11" s="119">
        <f t="shared" ca="1" si="3"/>
        <v>84.755403868031848</v>
      </c>
      <c r="O11" s="119">
        <f t="shared" ca="1" si="4"/>
        <v>72.738386308068456</v>
      </c>
      <c r="P11" s="119">
        <f t="shared" ca="1" si="5"/>
        <v>87.707317073170728</v>
      </c>
      <c r="Q11" s="119">
        <f t="shared" ca="1" si="6"/>
        <v>85.460869565217394</v>
      </c>
    </row>
    <row r="12" spans="1:17" ht="16.05" customHeight="1">
      <c r="A12" vm="47">
        <f ca="1"/>
        <v>43405</v>
      </c>
      <c r="B12" s="64" vm="48">
        <f ca="1"/>
        <v>8.3000000000000007</v>
      </c>
      <c r="C12" s="64" vm="49">
        <f ca="1"/>
        <v>41.060499999999998</v>
      </c>
      <c r="D12" s="64" vm="50">
        <f ca="1"/>
        <v>20.57</v>
      </c>
      <c r="E12" s="64" vm="51">
        <f ca="1"/>
        <v>19.125</v>
      </c>
      <c r="F12" s="64" vm="52">
        <f ca="1"/>
        <v>12.48</v>
      </c>
      <c r="G12" s="64" vm="53">
        <f ca="1"/>
        <v>37.22</v>
      </c>
      <c r="H12" s="64" vm="54">
        <f ca="1"/>
        <v>26.52</v>
      </c>
      <c r="J12" vm="47">
        <v>43405</v>
      </c>
      <c r="K12" s="119">
        <f t="shared" ca="1" si="0"/>
        <v>84.693877551020407</v>
      </c>
      <c r="L12" s="119">
        <f t="shared" ca="1" si="1"/>
        <v>81.390439415803741</v>
      </c>
      <c r="M12" s="119">
        <f t="shared" ca="1" si="2"/>
        <v>65.198098256735349</v>
      </c>
      <c r="N12" s="119">
        <f t="shared" ca="1" si="3"/>
        <v>87.030716723549489</v>
      </c>
      <c r="O12" s="119">
        <f t="shared" ca="1" si="4"/>
        <v>76.283618581907092</v>
      </c>
      <c r="P12" s="119">
        <f t="shared" ca="1" si="5"/>
        <v>90.780487804878049</v>
      </c>
      <c r="Q12" s="119">
        <f t="shared" ca="1" si="6"/>
        <v>92.243478260869566</v>
      </c>
    </row>
    <row r="13" spans="1:17" ht="16.05" customHeight="1">
      <c r="A13" vm="55">
        <f ca="1"/>
        <v>43435</v>
      </c>
      <c r="B13" s="64" vm="56">
        <f ca="1"/>
        <v>7.24</v>
      </c>
      <c r="C13" s="64" vm="57">
        <f ca="1"/>
        <v>37.620399999999997</v>
      </c>
      <c r="D13" s="64" vm="58">
        <f ca="1"/>
        <v>17.260000000000002</v>
      </c>
      <c r="E13" s="64" vm="59">
        <f ca="1"/>
        <v>18.36</v>
      </c>
      <c r="F13" s="64" vm="60">
        <f ca="1"/>
        <v>10.93</v>
      </c>
      <c r="G13" s="64" vm="61">
        <f ca="1"/>
        <v>34.659999999999997</v>
      </c>
      <c r="H13" s="64" vm="62">
        <f ca="1"/>
        <v>25.99</v>
      </c>
      <c r="J13" vm="55">
        <v>43435</v>
      </c>
      <c r="K13" s="119">
        <f t="shared" ca="1" si="0"/>
        <v>73.877551020408163</v>
      </c>
      <c r="L13" s="119">
        <f t="shared" ca="1" si="1"/>
        <v>74.571446694470424</v>
      </c>
      <c r="M13" s="119">
        <f t="shared" ca="1" si="2"/>
        <v>54.706814580031704</v>
      </c>
      <c r="N13" s="119">
        <f t="shared" ca="1" si="3"/>
        <v>83.549488054607508</v>
      </c>
      <c r="O13" s="119">
        <f t="shared" ca="1" si="4"/>
        <v>66.809290953545229</v>
      </c>
      <c r="P13" s="119">
        <f t="shared" ca="1" si="5"/>
        <v>84.536585365853654</v>
      </c>
      <c r="Q13" s="119">
        <f t="shared" ca="1" si="6"/>
        <v>90.399999999999991</v>
      </c>
    </row>
    <row r="14" spans="1:17" ht="16.05" customHeight="1">
      <c r="A14" vm="63">
        <f ca="1"/>
        <v>43466</v>
      </c>
      <c r="B14" s="64" vm="64">
        <f ca="1"/>
        <v>8.4600000000000009</v>
      </c>
      <c r="C14" s="64" vm="65">
        <f ca="1"/>
        <v>45.567300000000003</v>
      </c>
      <c r="D14" s="64" vm="66">
        <f ca="1"/>
        <v>23.46</v>
      </c>
      <c r="E14" s="64" vm="67">
        <f ca="1"/>
        <v>22.54</v>
      </c>
      <c r="F14" s="64" vm="68">
        <f ca="1"/>
        <v>13.45</v>
      </c>
      <c r="G14" s="64" vm="69">
        <f ca="1"/>
        <v>38.450000000000003</v>
      </c>
      <c r="H14" s="64" vm="70">
        <f ca="1"/>
        <v>27.81</v>
      </c>
      <c r="J14" vm="63">
        <v>43466</v>
      </c>
      <c r="K14" s="119">
        <f t="shared" ca="1" si="0"/>
        <v>86.326530612244909</v>
      </c>
      <c r="L14" s="119">
        <f t="shared" ca="1" si="1"/>
        <v>90.323853094622677</v>
      </c>
      <c r="M14" s="119">
        <f t="shared" ca="1" si="2"/>
        <v>74.3581616481775</v>
      </c>
      <c r="N14" s="119">
        <f t="shared" ca="1" si="3"/>
        <v>102.57110352673492</v>
      </c>
      <c r="O14" s="119">
        <f t="shared" ca="1" si="4"/>
        <v>82.212713936430319</v>
      </c>
      <c r="P14" s="119">
        <f t="shared" ca="1" si="5"/>
        <v>93.780487804878049</v>
      </c>
      <c r="Q14" s="119">
        <f t="shared" ca="1" si="6"/>
        <v>96.730434782608683</v>
      </c>
    </row>
    <row r="15" spans="1:17" ht="16.05" customHeight="1">
      <c r="A15" vm="71">
        <f ca="1"/>
        <v>43497</v>
      </c>
      <c r="B15" s="64" vm="72">
        <f ca="1"/>
        <v>8.91</v>
      </c>
      <c r="C15" s="64" vm="73">
        <f ca="1"/>
        <v>46.105400000000003</v>
      </c>
      <c r="D15" s="64" vm="74">
        <f ca="1"/>
        <v>22.83</v>
      </c>
      <c r="E15" s="64" vm="75">
        <f ca="1"/>
        <v>21.925000000000001</v>
      </c>
      <c r="F15" s="64" vm="76">
        <f ca="1"/>
        <v>12.6</v>
      </c>
      <c r="G15" s="64" vm="77">
        <f ca="1"/>
        <v>38.89</v>
      </c>
      <c r="H15" s="64" vm="78">
        <f ca="1"/>
        <v>27</v>
      </c>
      <c r="J15" vm="71">
        <v>43497</v>
      </c>
      <c r="K15" s="119">
        <f t="shared" ca="1" si="0"/>
        <v>90.91836734693878</v>
      </c>
      <c r="L15" s="119">
        <f t="shared" ca="1" si="1"/>
        <v>91.390479059957826</v>
      </c>
      <c r="M15" s="119">
        <f t="shared" ca="1" si="2"/>
        <v>72.361331220285251</v>
      </c>
      <c r="N15" s="119">
        <f t="shared" ca="1" si="3"/>
        <v>99.772468714448237</v>
      </c>
      <c r="O15" s="119">
        <f t="shared" ca="1" si="4"/>
        <v>77.01711491442542</v>
      </c>
      <c r="P15" s="119">
        <f t="shared" ca="1" si="5"/>
        <v>94.853658536585371</v>
      </c>
      <c r="Q15" s="119">
        <f t="shared" ca="1" si="6"/>
        <v>93.91304347826086</v>
      </c>
    </row>
    <row r="16" spans="1:17" ht="16.05" customHeight="1">
      <c r="A16" vm="79">
        <f ca="1"/>
        <v>43525</v>
      </c>
      <c r="B16" s="64" vm="80">
        <f ca="1"/>
        <v>8.75</v>
      </c>
      <c r="C16" s="64" vm="81">
        <f ca="1"/>
        <v>47.1721</v>
      </c>
      <c r="D16" s="64" vm="82">
        <f ca="1"/>
        <v>23.97</v>
      </c>
      <c r="E16" s="64" vm="83">
        <f ca="1"/>
        <v>22.355</v>
      </c>
      <c r="F16" s="64" vm="84">
        <f ca="1"/>
        <v>12.64</v>
      </c>
      <c r="G16" s="64" vm="85">
        <f ca="1"/>
        <v>41.38</v>
      </c>
      <c r="H16" s="64" vm="86">
        <f ca="1"/>
        <v>27.96</v>
      </c>
      <c r="J16" vm="79">
        <v>43525</v>
      </c>
      <c r="K16" s="119">
        <f t="shared" ca="1" si="0"/>
        <v>89.285714285714278</v>
      </c>
      <c r="L16" s="119">
        <f t="shared" ca="1" si="1"/>
        <v>93.504900017443433</v>
      </c>
      <c r="M16" s="119">
        <f t="shared" ca="1" si="2"/>
        <v>75.974643423137877</v>
      </c>
      <c r="N16" s="119">
        <f t="shared" ca="1" si="3"/>
        <v>101.72923777019341</v>
      </c>
      <c r="O16" s="119">
        <f t="shared" ca="1" si="4"/>
        <v>77.261613691931544</v>
      </c>
      <c r="P16" s="119">
        <f t="shared" ca="1" si="5"/>
        <v>100.92682926829269</v>
      </c>
      <c r="Q16" s="119">
        <f t="shared" ca="1" si="6"/>
        <v>97.252173913043478</v>
      </c>
    </row>
    <row r="17" spans="1:17" ht="16.05" customHeight="1">
      <c r="A17" vm="87">
        <f ca="1"/>
        <v>43556</v>
      </c>
      <c r="B17" s="64" vm="88">
        <f ca="1"/>
        <v>8.94</v>
      </c>
      <c r="C17" s="64" vm="89">
        <f ca="1"/>
        <v>49.997199999999999</v>
      </c>
      <c r="D17" s="64" vm="90">
        <f ca="1"/>
        <v>25.43</v>
      </c>
      <c r="E17" s="64" vm="91">
        <f ca="1"/>
        <v>25.574999999999999</v>
      </c>
      <c r="F17" s="64" vm="92">
        <f ca="1"/>
        <v>13.05</v>
      </c>
      <c r="G17" s="64" vm="93">
        <f ca="1"/>
        <v>44.31</v>
      </c>
      <c r="H17" s="64" vm="94">
        <f ca="1"/>
        <v>31.46</v>
      </c>
      <c r="J17" vm="87">
        <v>43556</v>
      </c>
      <c r="K17" s="119">
        <f t="shared" ca="1" si="0"/>
        <v>91.224489795918359</v>
      </c>
      <c r="L17" s="119">
        <f t="shared" ca="1" si="1"/>
        <v>99.10483500103075</v>
      </c>
      <c r="M17" s="119">
        <f t="shared" ca="1" si="2"/>
        <v>80.602218700475433</v>
      </c>
      <c r="N17" s="119">
        <f t="shared" ca="1" si="3"/>
        <v>116.38225255972695</v>
      </c>
      <c r="O17" s="119">
        <f t="shared" ca="1" si="4"/>
        <v>79.767726161369197</v>
      </c>
      <c r="P17" s="119">
        <f t="shared" ca="1" si="5"/>
        <v>108.07317073170732</v>
      </c>
      <c r="Q17" s="119">
        <f t="shared" ca="1" si="6"/>
        <v>109.42608695652174</v>
      </c>
    </row>
    <row r="18" spans="1:17" ht="16.05" customHeight="1">
      <c r="A18" vm="95">
        <f ca="1"/>
        <v>43586</v>
      </c>
      <c r="B18" s="64" vm="96">
        <f ca="1"/>
        <v>8.69</v>
      </c>
      <c r="C18" s="64" vm="97">
        <f ca="1"/>
        <v>47.719799999999999</v>
      </c>
      <c r="D18" s="64" vm="98">
        <f ca="1"/>
        <v>26.7</v>
      </c>
      <c r="E18" s="64" vm="99">
        <f ca="1"/>
        <v>25.05</v>
      </c>
      <c r="F18" s="64" vm="100">
        <f ca="1"/>
        <v>12.3</v>
      </c>
      <c r="G18" s="64" vm="101">
        <f ca="1"/>
        <v>42.76</v>
      </c>
      <c r="H18" s="64" vm="102">
        <f ca="1"/>
        <v>31</v>
      </c>
      <c r="J18" vm="95">
        <v>43586</v>
      </c>
      <c r="K18" s="119">
        <f t="shared" ca="1" si="0"/>
        <v>88.673469387755091</v>
      </c>
      <c r="L18" s="119">
        <f t="shared" ca="1" si="1"/>
        <v>94.590555176733645</v>
      </c>
      <c r="M18" s="119">
        <f t="shared" ca="1" si="2"/>
        <v>84.627575277337556</v>
      </c>
      <c r="N18" s="119">
        <f t="shared" ca="1" si="3"/>
        <v>113.99317406143345</v>
      </c>
      <c r="O18" s="119">
        <f t="shared" ca="1" si="4"/>
        <v>75.183374083129593</v>
      </c>
      <c r="P18" s="119">
        <f t="shared" ca="1" si="5"/>
        <v>104.29268292682926</v>
      </c>
      <c r="Q18" s="119">
        <f t="shared" ca="1" si="6"/>
        <v>107.82608695652173</v>
      </c>
    </row>
    <row r="19" spans="1:17" ht="16.05" customHeight="1">
      <c r="A19" vm="103">
        <f ca="1"/>
        <v>43617</v>
      </c>
      <c r="B19" s="64" vm="104">
        <f ca="1"/>
        <v>8.31</v>
      </c>
      <c r="C19" s="64" vm="105">
        <f ca="1"/>
        <v>46.566699999999997</v>
      </c>
      <c r="D19" s="64" vm="106">
        <f ca="1"/>
        <v>26.58</v>
      </c>
      <c r="E19" s="64" vm="107">
        <f ca="1"/>
        <v>25.67</v>
      </c>
      <c r="F19" s="64" vm="108">
        <f ca="1"/>
        <v>11.97</v>
      </c>
      <c r="G19" s="64" vm="109">
        <f ca="1"/>
        <v>43.13</v>
      </c>
      <c r="H19" s="64" vm="110">
        <f ca="1"/>
        <v>31.62</v>
      </c>
      <c r="J19" vm="103">
        <v>43617</v>
      </c>
      <c r="K19" s="119">
        <f t="shared" ca="1" si="0"/>
        <v>84.795918367346943</v>
      </c>
      <c r="L19" s="119">
        <f t="shared" ca="1" si="1"/>
        <v>92.304871473652497</v>
      </c>
      <c r="M19" s="119">
        <f t="shared" ca="1" si="2"/>
        <v>84.247226624405698</v>
      </c>
      <c r="N19" s="119">
        <f t="shared" ca="1" si="3"/>
        <v>116.81456200227532</v>
      </c>
      <c r="O19" s="119">
        <f t="shared" ca="1" si="4"/>
        <v>73.166259168704158</v>
      </c>
      <c r="P19" s="119">
        <f t="shared" ca="1" si="5"/>
        <v>105.19512195121952</v>
      </c>
      <c r="Q19" s="119">
        <f t="shared" ca="1" si="6"/>
        <v>109.98260869565217</v>
      </c>
    </row>
    <row r="20" spans="1:17" ht="16.05" customHeight="1">
      <c r="A20" vm="111">
        <f ca="1"/>
        <v>43647</v>
      </c>
      <c r="B20" s="64" vm="112">
        <f ca="1"/>
        <v>9.41</v>
      </c>
      <c r="C20" s="64" vm="113">
        <f ca="1"/>
        <v>45.711399999999998</v>
      </c>
      <c r="D20" s="64" vm="114">
        <f ca="1"/>
        <v>27.57</v>
      </c>
      <c r="E20" s="64" vm="115">
        <f ca="1"/>
        <v>31.405000000000001</v>
      </c>
      <c r="F20" s="64" vm="116">
        <f ca="1"/>
        <v>13.69</v>
      </c>
      <c r="G20" s="64" vm="117">
        <f ca="1"/>
        <v>45.93</v>
      </c>
      <c r="H20" s="64" vm="118">
        <f ca="1"/>
        <v>31.51</v>
      </c>
      <c r="J20" vm="111">
        <v>43647</v>
      </c>
      <c r="K20" s="119">
        <f t="shared" ca="1" si="0"/>
        <v>96.020408163265301</v>
      </c>
      <c r="L20" s="119">
        <f t="shared" ca="1" si="1"/>
        <v>90.609489224718928</v>
      </c>
      <c r="M20" s="119">
        <f t="shared" ca="1" si="2"/>
        <v>87.385103011093506</v>
      </c>
      <c r="N20" s="119">
        <f t="shared" ca="1" si="3"/>
        <v>142.91240045506257</v>
      </c>
      <c r="O20" s="119">
        <f t="shared" ca="1" si="4"/>
        <v>83.679706601466989</v>
      </c>
      <c r="P20" s="119">
        <f t="shared" ca="1" si="5"/>
        <v>112.02439024390243</v>
      </c>
      <c r="Q20" s="119">
        <f t="shared" ca="1" si="6"/>
        <v>109.60000000000001</v>
      </c>
    </row>
    <row r="21" spans="1:17" ht="16.05" customHeight="1">
      <c r="A21" vm="119">
        <f ca="1"/>
        <v>43678</v>
      </c>
      <c r="B21" s="64" vm="120">
        <f ca="1"/>
        <v>9.19</v>
      </c>
      <c r="C21" s="64" vm="121">
        <f ca="1"/>
        <v>49.007399999999997</v>
      </c>
      <c r="D21" s="64" vm="122">
        <f ca="1"/>
        <v>28.18</v>
      </c>
      <c r="E21" s="64" vm="123">
        <f ca="1"/>
        <v>32.67</v>
      </c>
      <c r="F21" s="64" vm="124">
        <f ca="1"/>
        <v>14</v>
      </c>
      <c r="G21" s="64" vm="125">
        <f ca="1"/>
        <v>49.47</v>
      </c>
      <c r="H21" s="64" vm="126">
        <f ca="1"/>
        <v>33.799999999999997</v>
      </c>
      <c r="J21" vm="119">
        <v>43678</v>
      </c>
      <c r="K21" s="119">
        <f t="shared" ca="1" si="0"/>
        <v>93.775510204081627</v>
      </c>
      <c r="L21" s="119">
        <f t="shared" ca="1" si="1"/>
        <v>97.14284581595598</v>
      </c>
      <c r="M21" s="119">
        <f t="shared" ca="1" si="2"/>
        <v>89.318541996830433</v>
      </c>
      <c r="N21" s="119">
        <f t="shared" ca="1" si="3"/>
        <v>148.6689419795222</v>
      </c>
      <c r="O21" s="119">
        <f t="shared" ca="1" si="4"/>
        <v>85.574572127139362</v>
      </c>
      <c r="P21" s="119">
        <f t="shared" ca="1" si="5"/>
        <v>120.65853658536585</v>
      </c>
      <c r="Q21" s="119">
        <f t="shared" ca="1" si="6"/>
        <v>117.56521739130433</v>
      </c>
    </row>
    <row r="22" spans="1:17" ht="16.05" customHeight="1">
      <c r="A22" vm="127">
        <f ca="1"/>
        <v>43709</v>
      </c>
      <c r="B22" s="64" vm="128">
        <f ca="1"/>
        <v>10.7</v>
      </c>
      <c r="C22" s="64" vm="129">
        <f ca="1"/>
        <v>53.667900000000003</v>
      </c>
      <c r="D22" s="64" vm="130">
        <f ca="1"/>
        <v>30.63</v>
      </c>
      <c r="E22" s="64" vm="131">
        <f ca="1"/>
        <v>35.174999999999997</v>
      </c>
      <c r="F22" s="64" vm="132">
        <f ca="1"/>
        <v>15.04</v>
      </c>
      <c r="G22" s="64" vm="133">
        <f ca="1"/>
        <v>52.71</v>
      </c>
      <c r="H22" s="64" vm="134">
        <f ca="1"/>
        <v>36.549999999999997</v>
      </c>
      <c r="J22" vm="127">
        <v>43709</v>
      </c>
      <c r="K22" s="119">
        <f t="shared" ca="1" si="0"/>
        <v>109.18367346938774</v>
      </c>
      <c r="L22" s="119">
        <f t="shared" ca="1" si="1"/>
        <v>106.38092481882623</v>
      </c>
      <c r="M22" s="119">
        <f t="shared" ca="1" si="2"/>
        <v>97.083993660855782</v>
      </c>
      <c r="N22" s="119">
        <f t="shared" ca="1" si="3"/>
        <v>160.0682593856655</v>
      </c>
      <c r="O22" s="119">
        <f t="shared" ca="1" si="4"/>
        <v>91.931540342298277</v>
      </c>
      <c r="P22" s="119">
        <f t="shared" ca="1" si="5"/>
        <v>128.5609756097561</v>
      </c>
      <c r="Q22" s="119">
        <f t="shared" ca="1" si="6"/>
        <v>127.13043478260869</v>
      </c>
    </row>
    <row r="23" spans="1:17" ht="16.05" customHeight="1">
      <c r="A23" vm="135">
        <f ca="1"/>
        <v>43739</v>
      </c>
      <c r="B23" s="64" vm="136">
        <f ca="1"/>
        <v>10.07</v>
      </c>
      <c r="C23" s="64" vm="137">
        <f ca="1"/>
        <v>57.2714</v>
      </c>
      <c r="D23" s="64" vm="138">
        <f ca="1"/>
        <v>30.17</v>
      </c>
      <c r="E23" s="64" vm="139">
        <f ca="1"/>
        <v>36.045000000000002</v>
      </c>
      <c r="F23" s="64" vm="140">
        <f ca="1"/>
        <v>15.74</v>
      </c>
      <c r="G23" s="64" vm="141">
        <f ca="1"/>
        <v>52.37</v>
      </c>
      <c r="H23" s="64" vm="142">
        <f ca="1"/>
        <v>39.24</v>
      </c>
      <c r="J23" vm="135">
        <v>43739</v>
      </c>
      <c r="K23" s="119">
        <f t="shared" ca="1" si="0"/>
        <v>102.75510204081633</v>
      </c>
      <c r="L23" s="119">
        <f t="shared" ca="1" si="1"/>
        <v>113.52381027893628</v>
      </c>
      <c r="M23" s="119">
        <f t="shared" ca="1" si="2"/>
        <v>95.625990491283687</v>
      </c>
      <c r="N23" s="119">
        <f t="shared" ca="1" si="3"/>
        <v>164.02730375426623</v>
      </c>
      <c r="O23" s="119">
        <f t="shared" ca="1" si="4"/>
        <v>96.210268948655255</v>
      </c>
      <c r="P23" s="119">
        <f t="shared" ca="1" si="5"/>
        <v>127.73170731707316</v>
      </c>
      <c r="Q23" s="119">
        <f t="shared" ca="1" si="6"/>
        <v>136.48695652173913</v>
      </c>
    </row>
    <row r="24" spans="1:17" ht="16.05" customHeight="1">
      <c r="A24" vm="143">
        <f ca="1"/>
        <v>43770</v>
      </c>
      <c r="B24" s="64" vm="144">
        <f ca="1"/>
        <v>11.41</v>
      </c>
      <c r="C24" s="64" vm="145">
        <f ca="1"/>
        <v>57.319499999999998</v>
      </c>
      <c r="D24" s="64" vm="146">
        <f ca="1"/>
        <v>28.5</v>
      </c>
      <c r="E24" s="64" vm="147">
        <f ca="1"/>
        <v>33.270000000000003</v>
      </c>
      <c r="F24" s="64" vm="148">
        <f ca="1"/>
        <v>15.58</v>
      </c>
      <c r="G24" s="64" vm="149">
        <f ca="1"/>
        <v>55.35</v>
      </c>
      <c r="H24" s="64" vm="150">
        <f ca="1"/>
        <v>39.65</v>
      </c>
      <c r="J24" vm="143">
        <v>43770</v>
      </c>
      <c r="K24" s="119">
        <f t="shared" ca="1" si="0"/>
        <v>116.42857142857143</v>
      </c>
      <c r="L24" s="119">
        <f t="shared" ca="1" si="1"/>
        <v>113.61915446948193</v>
      </c>
      <c r="M24" s="119">
        <f t="shared" ca="1" si="2"/>
        <v>90.332805071315377</v>
      </c>
      <c r="N24" s="119">
        <f t="shared" ca="1" si="3"/>
        <v>151.39931740614335</v>
      </c>
      <c r="O24" s="119">
        <f t="shared" ca="1" si="4"/>
        <v>95.232273838630803</v>
      </c>
      <c r="P24" s="119">
        <f t="shared" ca="1" si="5"/>
        <v>135</v>
      </c>
      <c r="Q24" s="119">
        <f t="shared" ca="1" si="6"/>
        <v>137.91304347826087</v>
      </c>
    </row>
    <row r="25" spans="1:17" ht="16.05" customHeight="1">
      <c r="A25" vm="151">
        <f ca="1"/>
        <v>43800</v>
      </c>
      <c r="B25" s="64" vm="152">
        <f ca="1"/>
        <v>11.48</v>
      </c>
      <c r="C25" s="64" vm="153">
        <f ca="1"/>
        <v>53.610300000000002</v>
      </c>
      <c r="D25" s="64" vm="154">
        <f ca="1"/>
        <v>27.35</v>
      </c>
      <c r="E25" s="64" vm="155">
        <f ca="1"/>
        <v>30.555</v>
      </c>
      <c r="F25" s="64" vm="148">
        <f ca="1"/>
        <v>15.58</v>
      </c>
      <c r="G25" s="64" vm="156">
        <f ca="1"/>
        <v>52.75</v>
      </c>
      <c r="H25" s="64" vm="157">
        <f ca="1"/>
        <v>38.799999999999997</v>
      </c>
      <c r="J25" vm="151">
        <v>43800</v>
      </c>
      <c r="K25" s="119">
        <f t="shared" ca="1" si="0"/>
        <v>117.14285714285714</v>
      </c>
      <c r="L25" s="119">
        <f t="shared" ca="1" si="1"/>
        <v>106.26674965509586</v>
      </c>
      <c r="M25" s="119">
        <f t="shared" ca="1" si="2"/>
        <v>86.687797147385112</v>
      </c>
      <c r="N25" s="119">
        <f t="shared" ca="1" si="3"/>
        <v>139.04436860068259</v>
      </c>
      <c r="O25" s="119">
        <f t="shared" ca="1" si="4"/>
        <v>95.232273838630803</v>
      </c>
      <c r="P25" s="119">
        <f t="shared" ca="1" si="5"/>
        <v>128.65853658536585</v>
      </c>
      <c r="Q25" s="119">
        <f t="shared" ca="1" si="6"/>
        <v>134.95652173913041</v>
      </c>
    </row>
    <row r="26" spans="1:17" ht="16.05" customHeight="1">
      <c r="A26" vm="158">
        <f ca="1"/>
        <v>43831</v>
      </c>
      <c r="B26" s="64" vm="159">
        <f ca="1"/>
        <v>11.59</v>
      </c>
      <c r="C26" s="64" vm="160">
        <f ca="1"/>
        <v>63.767299999999999</v>
      </c>
      <c r="D26" s="64" vm="161">
        <f ca="1"/>
        <v>29.67</v>
      </c>
      <c r="E26" s="64" vm="162">
        <f ca="1"/>
        <v>35.479999999999997</v>
      </c>
      <c r="F26" s="64" vm="163">
        <f ca="1"/>
        <v>16.260000000000002</v>
      </c>
      <c r="G26" s="64" vm="164">
        <f ca="1"/>
        <v>59.2</v>
      </c>
      <c r="H26" s="64" vm="165">
        <f ca="1"/>
        <v>44.65</v>
      </c>
      <c r="J26" vm="158">
        <v>43831</v>
      </c>
      <c r="K26" s="119">
        <f t="shared" ca="1" si="0"/>
        <v>118.26530612244898</v>
      </c>
      <c r="L26" s="119">
        <f t="shared" ca="1" si="1"/>
        <v>126.40003330108942</v>
      </c>
      <c r="M26" s="119">
        <f t="shared" ca="1" si="2"/>
        <v>94.041204437400964</v>
      </c>
      <c r="N26" s="119">
        <f t="shared" ca="1" si="3"/>
        <v>161.45620022753127</v>
      </c>
      <c r="O26" s="119">
        <f t="shared" ca="1" si="4"/>
        <v>99.388753056234734</v>
      </c>
      <c r="P26" s="119">
        <f t="shared" ca="1" si="5"/>
        <v>144.39024390243904</v>
      </c>
      <c r="Q26" s="119">
        <f t="shared" ca="1" si="6"/>
        <v>155.30434782608694</v>
      </c>
    </row>
    <row r="27" spans="1:17" ht="16.05" customHeight="1">
      <c r="A27" vm="166">
        <f ca="1"/>
        <v>43862</v>
      </c>
      <c r="B27" s="64" vm="167">
        <f ca="1"/>
        <v>10.94</v>
      </c>
      <c r="C27" s="64" vm="168">
        <f ca="1"/>
        <v>57.982500000000002</v>
      </c>
      <c r="D27" s="64" vm="169">
        <f ca="1"/>
        <v>33.33</v>
      </c>
      <c r="E27" s="64" vm="170">
        <f ca="1"/>
        <v>31.73</v>
      </c>
      <c r="F27" s="64" vm="171">
        <f ca="1"/>
        <v>15.33</v>
      </c>
      <c r="G27" s="64" vm="172">
        <f ca="1"/>
        <v>53.27</v>
      </c>
      <c r="H27" s="64" vm="173">
        <f ca="1"/>
        <v>40.200000000000003</v>
      </c>
      <c r="J27" vm="166">
        <v>43862</v>
      </c>
      <c r="K27" s="119">
        <f t="shared" ca="1" si="0"/>
        <v>111.63265306122449</v>
      </c>
      <c r="L27" s="119">
        <f t="shared" ca="1" si="1"/>
        <v>114.93335817700323</v>
      </c>
      <c r="M27" s="119">
        <f t="shared" ca="1" si="2"/>
        <v>105.6418383518225</v>
      </c>
      <c r="N27" s="119">
        <f t="shared" ca="1" si="3"/>
        <v>144.39135381114903</v>
      </c>
      <c r="O27" s="119">
        <f t="shared" ca="1" si="4"/>
        <v>93.704156479217602</v>
      </c>
      <c r="P27" s="119">
        <f t="shared" ca="1" si="5"/>
        <v>129.92682926829269</v>
      </c>
      <c r="Q27" s="119">
        <f t="shared" ca="1" si="6"/>
        <v>139.82608695652175</v>
      </c>
    </row>
    <row r="28" spans="1:17" ht="16.05" customHeight="1">
      <c r="A28" vm="174">
        <f ca="1"/>
        <v>43891</v>
      </c>
      <c r="B28" s="64" vm="175">
        <f ca="1"/>
        <v>8.0500000000000007</v>
      </c>
      <c r="C28" s="64" vm="176">
        <f ca="1"/>
        <v>36.707500000000003</v>
      </c>
      <c r="D28" s="64" vm="177">
        <f ca="1"/>
        <v>14.51</v>
      </c>
      <c r="E28" s="64" vm="178">
        <f ca="1"/>
        <v>18.254999999999999</v>
      </c>
      <c r="F28" s="64" vm="179">
        <f ca="1"/>
        <v>8.77</v>
      </c>
      <c r="G28" s="64" vm="180">
        <f ca="1"/>
        <v>34</v>
      </c>
      <c r="H28" s="64" vm="181">
        <f ca="1"/>
        <v>22.32</v>
      </c>
      <c r="J28" vm="174">
        <v>43891</v>
      </c>
      <c r="K28" s="119">
        <f t="shared" ca="1" si="0"/>
        <v>82.142857142857153</v>
      </c>
      <c r="L28" s="119">
        <f t="shared" ca="1" si="1"/>
        <v>72.761889281806518</v>
      </c>
      <c r="M28" s="119">
        <f t="shared" ca="1" si="2"/>
        <v>45.990491283676704</v>
      </c>
      <c r="N28" s="119">
        <f t="shared" ca="1" si="3"/>
        <v>83.071672354948802</v>
      </c>
      <c r="O28" s="119">
        <f t="shared" ca="1" si="4"/>
        <v>53.606356968215159</v>
      </c>
      <c r="P28" s="119">
        <f t="shared" ca="1" si="5"/>
        <v>82.926829268292678</v>
      </c>
      <c r="Q28" s="119">
        <f t="shared" ca="1" si="6"/>
        <v>77.634782608695645</v>
      </c>
    </row>
    <row r="29" spans="1:17" ht="16.05" customHeight="1">
      <c r="A29" vm="182">
        <f ca="1"/>
        <v>43922</v>
      </c>
      <c r="B29" s="64" vm="72">
        <f ca="1"/>
        <v>8.91</v>
      </c>
      <c r="C29" s="64" vm="183">
        <f ca="1"/>
        <v>48.113799999999998</v>
      </c>
      <c r="D29" s="64" vm="184">
        <f ca="1"/>
        <v>21.42</v>
      </c>
      <c r="E29" s="64" vm="185">
        <f ca="1"/>
        <v>26.28</v>
      </c>
      <c r="F29" s="64" vm="152">
        <f ca="1"/>
        <v>11.48</v>
      </c>
      <c r="G29" s="64" vm="186">
        <f ca="1"/>
        <v>47.22</v>
      </c>
      <c r="H29" s="64" vm="187">
        <f ca="1"/>
        <v>28.27</v>
      </c>
      <c r="J29" vm="182">
        <v>43922</v>
      </c>
      <c r="K29" s="119">
        <f t="shared" ca="1" si="0"/>
        <v>90.91836734693878</v>
      </c>
      <c r="L29" s="119">
        <f t="shared" ca="1" si="1"/>
        <v>95.371545011972529</v>
      </c>
      <c r="M29" s="119">
        <f t="shared" ca="1" si="2"/>
        <v>67.892234548335978</v>
      </c>
      <c r="N29" s="119">
        <f t="shared" ca="1" si="3"/>
        <v>119.59044368600682</v>
      </c>
      <c r="O29" s="119">
        <f t="shared" ca="1" si="4"/>
        <v>70.171149144254287</v>
      </c>
      <c r="P29" s="119">
        <f t="shared" ca="1" si="5"/>
        <v>115.17073170731707</v>
      </c>
      <c r="Q29" s="119">
        <f t="shared" ca="1" si="6"/>
        <v>98.330434782608691</v>
      </c>
    </row>
    <row r="30" spans="1:17" ht="16.05" customHeight="1">
      <c r="A30" vm="188">
        <f ca="1"/>
        <v>43952</v>
      </c>
      <c r="B30" s="64" vm="128">
        <f ca="1"/>
        <v>10.7</v>
      </c>
      <c r="C30" s="64" vm="189">
        <f ca="1"/>
        <v>58.097799999999999</v>
      </c>
      <c r="D30" s="64" vm="190">
        <f ca="1"/>
        <v>29.54</v>
      </c>
      <c r="E30" s="64" vm="191">
        <f ca="1"/>
        <v>34.75</v>
      </c>
      <c r="F30" s="64" vm="192">
        <f ca="1"/>
        <v>14.32</v>
      </c>
      <c r="G30" s="64" vm="193">
        <f ca="1"/>
        <v>55.3</v>
      </c>
      <c r="H30" s="64" vm="194">
        <f ca="1"/>
        <v>33.97</v>
      </c>
      <c r="J30" vm="188">
        <v>43952</v>
      </c>
      <c r="K30" s="119">
        <f t="shared" ca="1" si="0"/>
        <v>109.18367346938774</v>
      </c>
      <c r="L30" s="119">
        <f t="shared" ca="1" si="1"/>
        <v>115.1619067252343</v>
      </c>
      <c r="M30" s="119">
        <f t="shared" ca="1" si="2"/>
        <v>93.629160063391438</v>
      </c>
      <c r="N30" s="119">
        <f t="shared" ca="1" si="3"/>
        <v>158.13424345847554</v>
      </c>
      <c r="O30" s="119">
        <f t="shared" ca="1" si="4"/>
        <v>87.530562347188265</v>
      </c>
      <c r="P30" s="119">
        <f t="shared" ca="1" si="5"/>
        <v>134.8780487804878</v>
      </c>
      <c r="Q30" s="119">
        <f t="shared" ca="1" si="6"/>
        <v>118.15652173913043</v>
      </c>
    </row>
    <row r="31" spans="1:17" ht="16.05" customHeight="1">
      <c r="A31" vm="195">
        <f ca="1"/>
        <v>43983</v>
      </c>
      <c r="B31" s="64" vm="196">
        <f ca="1"/>
        <v>11.85</v>
      </c>
      <c r="C31" s="64" vm="197">
        <f ca="1"/>
        <v>59.212499999999999</v>
      </c>
      <c r="D31" s="64" vm="198">
        <f ca="1"/>
        <v>30.66</v>
      </c>
      <c r="E31" s="64" vm="199">
        <f ca="1"/>
        <v>38.06</v>
      </c>
      <c r="F31" s="64" vm="200">
        <f ca="1"/>
        <v>14.69</v>
      </c>
      <c r="G31" s="64" vm="201">
        <f ca="1"/>
        <v>55.45</v>
      </c>
      <c r="H31" s="64" vm="202">
        <f ca="1"/>
        <v>34.03</v>
      </c>
      <c r="J31" vm="195">
        <v>43983</v>
      </c>
      <c r="K31" s="119">
        <f t="shared" ca="1" si="0"/>
        <v>120.91836734693877</v>
      </c>
      <c r="L31" s="119">
        <f t="shared" ca="1" si="1"/>
        <v>117.37147365249521</v>
      </c>
      <c r="M31" s="119">
        <f t="shared" ca="1" si="2"/>
        <v>97.179080824088757</v>
      </c>
      <c r="N31" s="119">
        <f t="shared" ca="1" si="3"/>
        <v>173.19681456200229</v>
      </c>
      <c r="O31" s="119">
        <f t="shared" ca="1" si="4"/>
        <v>89.792176039119795</v>
      </c>
      <c r="P31" s="119">
        <f t="shared" ca="1" si="5"/>
        <v>135.2439024390244</v>
      </c>
      <c r="Q31" s="119">
        <f t="shared" ca="1" si="6"/>
        <v>118.36521739130436</v>
      </c>
    </row>
    <row r="32" spans="1:17" ht="16.05" customHeight="1">
      <c r="A32" vm="203">
        <f ca="1"/>
        <v>44013</v>
      </c>
      <c r="B32" s="64" vm="204">
        <f ca="1"/>
        <v>13.8</v>
      </c>
      <c r="C32" s="64" vm="205">
        <f ca="1"/>
        <v>69.523300000000006</v>
      </c>
      <c r="D32" s="64" vm="206">
        <f ca="1"/>
        <v>35.619999999999997</v>
      </c>
      <c r="E32" s="64" vm="207">
        <f ca="1"/>
        <v>49.59</v>
      </c>
      <c r="F32" s="64" vm="208">
        <f ca="1"/>
        <v>16.72</v>
      </c>
      <c r="G32" s="64" vm="209">
        <f ca="1"/>
        <v>66.16</v>
      </c>
      <c r="H32" s="64" vm="210">
        <f ca="1"/>
        <v>43.6</v>
      </c>
      <c r="J32" vm="203">
        <v>44013</v>
      </c>
      <c r="K32" s="119">
        <f t="shared" ca="1" si="0"/>
        <v>140.81632653061226</v>
      </c>
      <c r="L32" s="119">
        <f t="shared" ca="1" si="1"/>
        <v>137.80962084331046</v>
      </c>
      <c r="M32" s="119">
        <f t="shared" ca="1" si="2"/>
        <v>112.90015847860538</v>
      </c>
      <c r="N32" s="119">
        <f t="shared" ca="1" si="3"/>
        <v>225.66552901023891</v>
      </c>
      <c r="O32" s="119">
        <f t="shared" ca="1" si="4"/>
        <v>102.200488997555</v>
      </c>
      <c r="P32" s="119">
        <f t="shared" ca="1" si="5"/>
        <v>161.36585365853657</v>
      </c>
      <c r="Q32" s="119">
        <f t="shared" ca="1" si="6"/>
        <v>151.65217391304347</v>
      </c>
    </row>
    <row r="33" spans="1:17" ht="16.05" customHeight="1">
      <c r="A33" vm="211">
        <f ca="1"/>
        <v>44044</v>
      </c>
      <c r="B33" s="64" vm="212">
        <f ca="1"/>
        <v>14.24</v>
      </c>
      <c r="C33" s="64" vm="213">
        <f ca="1"/>
        <v>71.896799999999999</v>
      </c>
      <c r="D33" s="64" vm="214">
        <f ca="1"/>
        <v>35.68</v>
      </c>
      <c r="E33" s="64" vm="215">
        <f ca="1"/>
        <v>48.015000000000001</v>
      </c>
      <c r="F33" s="64" vm="216">
        <f ca="1"/>
        <v>16.88</v>
      </c>
      <c r="G33" s="64" vm="217">
        <f ca="1"/>
        <v>71.37</v>
      </c>
      <c r="H33" s="64" vm="218">
        <f ca="1"/>
        <v>44.59</v>
      </c>
      <c r="J33" vm="211">
        <v>44044</v>
      </c>
      <c r="K33" s="119">
        <f t="shared" ca="1" si="0"/>
        <v>145.30612244897958</v>
      </c>
      <c r="L33" s="119">
        <f t="shared" ca="1" si="1"/>
        <v>142.51439082792851</v>
      </c>
      <c r="M33" s="119">
        <f t="shared" ca="1" si="2"/>
        <v>113.09033280507131</v>
      </c>
      <c r="N33" s="119">
        <f t="shared" ca="1" si="3"/>
        <v>218.49829351535837</v>
      </c>
      <c r="O33" s="119">
        <f t="shared" ca="1" si="4"/>
        <v>103.17848410757945</v>
      </c>
      <c r="P33" s="119">
        <f t="shared" ca="1" si="5"/>
        <v>174.07317073170734</v>
      </c>
      <c r="Q33" s="119">
        <f t="shared" ca="1" si="6"/>
        <v>155.09565217391304</v>
      </c>
    </row>
    <row r="34" spans="1:17" ht="16.05" customHeight="1">
      <c r="A34" vm="219">
        <f ca="1"/>
        <v>44075</v>
      </c>
      <c r="B34" s="64" vm="220">
        <f ca="1"/>
        <v>16.100000000000001</v>
      </c>
      <c r="C34" s="64" vm="221">
        <f ca="1"/>
        <v>78.488799999999998</v>
      </c>
      <c r="D34" s="64" vm="222">
        <f ca="1"/>
        <v>42.33</v>
      </c>
      <c r="E34" s="64" vm="223">
        <f ca="1"/>
        <v>55.195</v>
      </c>
      <c r="F34" s="64" vm="224">
        <f ca="1"/>
        <v>18.14</v>
      </c>
      <c r="G34" s="64" vm="225">
        <f ca="1"/>
        <v>75.63</v>
      </c>
      <c r="H34" s="64" vm="226">
        <f ca="1"/>
        <v>46.29</v>
      </c>
      <c r="J34" vm="219">
        <v>44075</v>
      </c>
      <c r="K34" s="119">
        <f t="shared" ca="1" si="0"/>
        <v>164.28571428571431</v>
      </c>
      <c r="L34" s="119">
        <f t="shared" ca="1" si="1"/>
        <v>155.58110401040264</v>
      </c>
      <c r="M34" s="119">
        <f t="shared" ca="1" si="2"/>
        <v>134.16798732171156</v>
      </c>
      <c r="N34" s="119">
        <f t="shared" ca="1" si="3"/>
        <v>251.17178612059158</v>
      </c>
      <c r="O34" s="119">
        <f t="shared" ca="1" si="4"/>
        <v>110.880195599022</v>
      </c>
      <c r="P34" s="119">
        <f t="shared" ca="1" si="5"/>
        <v>184.46341463414632</v>
      </c>
      <c r="Q34" s="119">
        <f t="shared" ca="1" si="6"/>
        <v>161.00869565217391</v>
      </c>
    </row>
    <row r="35" spans="1:17" ht="16.05" customHeight="1">
      <c r="A35" vm="227">
        <f ca="1"/>
        <v>44105</v>
      </c>
      <c r="B35" s="64" vm="228">
        <f ca="1"/>
        <v>17.89</v>
      </c>
      <c r="C35" s="64" vm="229">
        <f ca="1"/>
        <v>67.486099999999993</v>
      </c>
      <c r="D35" s="64" vm="230">
        <f ca="1"/>
        <v>38.840000000000003</v>
      </c>
      <c r="E35" s="64" vm="231">
        <f ca="1"/>
        <v>43.545000000000002</v>
      </c>
      <c r="F35" s="64" vm="232">
        <f ca="1"/>
        <v>16.43</v>
      </c>
      <c r="G35" s="64" vm="233">
        <f ca="1"/>
        <v>66.81</v>
      </c>
      <c r="H35" s="64" vm="234">
        <f ca="1"/>
        <v>40.76</v>
      </c>
      <c r="J35" vm="227">
        <v>44105</v>
      </c>
      <c r="K35" s="119">
        <f t="shared" ca="1" si="0"/>
        <v>182.55102040816325</v>
      </c>
      <c r="L35" s="119">
        <f t="shared" ca="1" si="1"/>
        <v>133.77146730943053</v>
      </c>
      <c r="M35" s="119">
        <f t="shared" ca="1" si="2"/>
        <v>123.10618066561015</v>
      </c>
      <c r="N35" s="119">
        <f t="shared" ca="1" si="3"/>
        <v>198.15699658703073</v>
      </c>
      <c r="O35" s="119">
        <f t="shared" ca="1" si="4"/>
        <v>100.42787286063569</v>
      </c>
      <c r="P35" s="119">
        <f t="shared" ca="1" si="5"/>
        <v>162.95121951219514</v>
      </c>
      <c r="Q35" s="119">
        <f t="shared" ca="1" si="6"/>
        <v>141.77391304347825</v>
      </c>
    </row>
    <row r="36" spans="1:17" ht="16.05" customHeight="1">
      <c r="A36" vm="235">
        <f ca="1"/>
        <v>44136</v>
      </c>
      <c r="B36" s="64" vm="236">
        <f ca="1"/>
        <v>21.77</v>
      </c>
      <c r="C36" s="64" vm="237">
        <f ca="1"/>
        <v>72.896100000000004</v>
      </c>
      <c r="D36" s="64" vm="238">
        <f ca="1"/>
        <v>44.5</v>
      </c>
      <c r="E36" s="64" vm="239">
        <f ca="1"/>
        <v>45.075000000000003</v>
      </c>
      <c r="F36" s="64" vm="240">
        <f ca="1"/>
        <v>17.48</v>
      </c>
      <c r="G36" s="64" vm="241">
        <f ca="1"/>
        <v>74.5</v>
      </c>
      <c r="H36" s="64" vm="242">
        <f ca="1"/>
        <v>43.63</v>
      </c>
      <c r="J36" vm="235">
        <v>44136</v>
      </c>
      <c r="K36" s="119">
        <f t="shared" ca="1" si="0"/>
        <v>222.14285714285714</v>
      </c>
      <c r="L36" s="119">
        <f t="shared" ca="1" si="1"/>
        <v>144.495210986188</v>
      </c>
      <c r="M36" s="119">
        <f t="shared" ca="1" si="2"/>
        <v>141.0459587955626</v>
      </c>
      <c r="N36" s="119">
        <f t="shared" ca="1" si="3"/>
        <v>205.11945392491469</v>
      </c>
      <c r="O36" s="119">
        <f t="shared" ca="1" si="4"/>
        <v>106.84596577017115</v>
      </c>
      <c r="P36" s="119">
        <f t="shared" ca="1" si="5"/>
        <v>181.70731707317071</v>
      </c>
      <c r="Q36" s="119">
        <f t="shared" ca="1" si="6"/>
        <v>151.75652173913045</v>
      </c>
    </row>
    <row r="37" spans="1:17" ht="16.05" customHeight="1">
      <c r="A37" vm="243">
        <f ca="1"/>
        <v>44166</v>
      </c>
      <c r="B37" s="64" vm="244">
        <f ca="1"/>
        <v>22.96</v>
      </c>
      <c r="C37" s="64" vm="245">
        <f ca="1"/>
        <v>73.2517</v>
      </c>
      <c r="D37" s="64" vm="246">
        <f ca="1"/>
        <v>43.78</v>
      </c>
      <c r="E37" s="64" vm="247">
        <f ca="1"/>
        <v>41.41</v>
      </c>
      <c r="F37" s="64" vm="248">
        <f ca="1"/>
        <v>17.25</v>
      </c>
      <c r="G37" s="64" vm="249">
        <f ca="1"/>
        <v>68.92</v>
      </c>
      <c r="H37" s="64" vm="250">
        <f ca="1"/>
        <v>43.12</v>
      </c>
      <c r="J37" vm="243">
        <v>44166</v>
      </c>
      <c r="K37" s="119">
        <f t="shared" ca="1" si="0"/>
        <v>234.28571428571428</v>
      </c>
      <c r="L37" s="119">
        <f t="shared" ca="1" si="1"/>
        <v>145.20008404560664</v>
      </c>
      <c r="M37" s="119">
        <f t="shared" ca="1" si="2"/>
        <v>138.76386687797148</v>
      </c>
      <c r="N37" s="119">
        <f t="shared" ca="1" si="3"/>
        <v>188.4414106939704</v>
      </c>
      <c r="O37" s="119">
        <f t="shared" ca="1" si="4"/>
        <v>105.44009779951101</v>
      </c>
      <c r="P37" s="119">
        <f t="shared" ca="1" si="5"/>
        <v>168.09756097560975</v>
      </c>
      <c r="Q37" s="119">
        <f t="shared" ca="1" si="6"/>
        <v>149.98260869565217</v>
      </c>
    </row>
    <row r="38" spans="1:17" ht="16.05" customHeight="1">
      <c r="A38" vm="251">
        <f ca="1"/>
        <v>44197</v>
      </c>
      <c r="B38" s="64" vm="252">
        <f ca="1"/>
        <v>19.899999999999999</v>
      </c>
      <c r="C38" s="64" vm="253">
        <f ca="1"/>
        <v>79.901300000000006</v>
      </c>
      <c r="D38" s="64" vm="254">
        <f ca="1"/>
        <v>46.94</v>
      </c>
      <c r="E38" s="64" vm="255">
        <f ca="1"/>
        <v>40.130000000000003</v>
      </c>
      <c r="F38" s="64" vm="256">
        <f ca="1"/>
        <v>20.2</v>
      </c>
      <c r="G38" s="64" vm="257">
        <f ca="1"/>
        <v>76.8</v>
      </c>
      <c r="H38" s="64" vm="258">
        <f ca="1"/>
        <v>43.5</v>
      </c>
      <c r="J38" vm="251">
        <v>44197</v>
      </c>
      <c r="K38" s="119">
        <f t="shared" ca="1" si="0"/>
        <v>203.0612244897959</v>
      </c>
      <c r="L38" s="119">
        <f t="shared" ca="1" si="1"/>
        <v>158.38097239181113</v>
      </c>
      <c r="M38" s="119">
        <f t="shared" ca="1" si="2"/>
        <v>148.77971473851031</v>
      </c>
      <c r="N38" s="119">
        <f t="shared" ca="1" si="3"/>
        <v>182.61660978384529</v>
      </c>
      <c r="O38" s="119">
        <f t="shared" ca="1" si="4"/>
        <v>123.4718826405868</v>
      </c>
      <c r="P38" s="119">
        <f t="shared" ca="1" si="5"/>
        <v>187.3170731707317</v>
      </c>
      <c r="Q38" s="119">
        <f t="shared" ca="1" si="6"/>
        <v>151.30434782608694</v>
      </c>
    </row>
    <row r="39" spans="1:17" ht="16.05" customHeight="1">
      <c r="A39" vm="259">
        <f ca="1"/>
        <v>44228</v>
      </c>
      <c r="B39" s="64" vm="260">
        <f ca="1"/>
        <v>19.73</v>
      </c>
      <c r="C39" s="64" vm="261">
        <f ca="1"/>
        <v>79.728399999999993</v>
      </c>
      <c r="D39" s="64" vm="262">
        <f ca="1"/>
        <v>55.33</v>
      </c>
      <c r="E39" s="64" vm="263">
        <f ca="1"/>
        <v>42.155000000000001</v>
      </c>
      <c r="F39" s="64" vm="264">
        <f ca="1"/>
        <v>19</v>
      </c>
      <c r="G39" s="64" vm="265">
        <f ca="1"/>
        <v>76.87</v>
      </c>
      <c r="H39" s="64" vm="266">
        <f ca="1"/>
        <v>45.11</v>
      </c>
      <c r="J39" vm="259">
        <v>44228</v>
      </c>
      <c r="K39" s="119">
        <f t="shared" ca="1" si="0"/>
        <v>201.32653061224491</v>
      </c>
      <c r="L39" s="119">
        <f t="shared" ca="1" si="1"/>
        <v>158.03824867984966</v>
      </c>
      <c r="M39" s="119">
        <f t="shared" ca="1" si="2"/>
        <v>175.37242472266243</v>
      </c>
      <c r="N39" s="119">
        <f t="shared" ca="1" si="3"/>
        <v>191.83162684869168</v>
      </c>
      <c r="O39" s="119">
        <f t="shared" ca="1" si="4"/>
        <v>116.13691931540342</v>
      </c>
      <c r="P39" s="119">
        <f t="shared" ca="1" si="5"/>
        <v>187.48780487804879</v>
      </c>
      <c r="Q39" s="119">
        <f t="shared" ca="1" si="6"/>
        <v>156.90434782608696</v>
      </c>
    </row>
    <row r="40" spans="1:17" ht="16.05" customHeight="1">
      <c r="A40" vm="267">
        <f ca="1"/>
        <v>44256</v>
      </c>
      <c r="B40" s="64" vm="268">
        <f ca="1"/>
        <v>22.68</v>
      </c>
      <c r="C40" s="64" vm="269">
        <f ca="1"/>
        <v>97.274900000000002</v>
      </c>
      <c r="D40" s="64" vm="270">
        <f ca="1"/>
        <v>60.32</v>
      </c>
      <c r="E40" s="64" vm="271">
        <f ca="1"/>
        <v>45.96</v>
      </c>
      <c r="F40" s="64" vm="272">
        <f ca="1"/>
        <v>20.36</v>
      </c>
      <c r="G40" s="64" vm="273">
        <f ca="1"/>
        <v>89.12</v>
      </c>
      <c r="H40" s="64" vm="274">
        <f ca="1"/>
        <v>52.44</v>
      </c>
      <c r="J40" vm="267">
        <v>44256</v>
      </c>
      <c r="K40" s="119">
        <f t="shared" ca="1" si="0"/>
        <v>231.42857142857142</v>
      </c>
      <c r="L40" s="119">
        <f t="shared" ca="1" si="1"/>
        <v>192.81905615197985</v>
      </c>
      <c r="M40" s="119">
        <f t="shared" ca="1" si="2"/>
        <v>191.18858954041204</v>
      </c>
      <c r="N40" s="119">
        <f t="shared" ca="1" si="3"/>
        <v>209.14675767918089</v>
      </c>
      <c r="O40" s="119">
        <f t="shared" ca="1" si="4"/>
        <v>124.44987775061124</v>
      </c>
      <c r="P40" s="119">
        <f t="shared" ca="1" si="5"/>
        <v>217.36585365853659</v>
      </c>
      <c r="Q40" s="119">
        <f t="shared" ca="1" si="6"/>
        <v>182.39999999999998</v>
      </c>
    </row>
    <row r="41" spans="1:17" ht="16.05" customHeight="1">
      <c r="A41" vm="275">
        <f ca="1"/>
        <v>44287</v>
      </c>
      <c r="B41" s="64" vm="276">
        <f ca="1"/>
        <v>25.81</v>
      </c>
      <c r="C41" s="64" vm="277">
        <f ca="1"/>
        <v>99.552300000000002</v>
      </c>
      <c r="D41" s="64" vm="278">
        <f ca="1"/>
        <v>73.94</v>
      </c>
      <c r="E41" s="64" vm="279">
        <f ca="1"/>
        <v>53.195</v>
      </c>
      <c r="F41" s="64" vm="280">
        <f ca="1"/>
        <v>23.82</v>
      </c>
      <c r="G41" s="64" vm="281">
        <f ca="1"/>
        <v>98.29</v>
      </c>
      <c r="H41" s="64" vm="282">
        <f ca="1"/>
        <v>59.12</v>
      </c>
      <c r="J41" vm="275">
        <v>44287</v>
      </c>
      <c r="K41" s="119">
        <f t="shared" ca="1" si="0"/>
        <v>263.36734693877548</v>
      </c>
      <c r="L41" s="119">
        <f t="shared" ca="1" si="1"/>
        <v>197.33333597627694</v>
      </c>
      <c r="M41" s="119">
        <f t="shared" ca="1" si="2"/>
        <v>234.35816164817749</v>
      </c>
      <c r="N41" s="119">
        <f t="shared" ca="1" si="3"/>
        <v>242.07053469852104</v>
      </c>
      <c r="O41" s="119">
        <f t="shared" ca="1" si="4"/>
        <v>145.59902200488997</v>
      </c>
      <c r="P41" s="119">
        <f t="shared" ca="1" si="5"/>
        <v>239.73170731707319</v>
      </c>
      <c r="Q41" s="119">
        <f t="shared" ca="1" si="6"/>
        <v>205.63478260869564</v>
      </c>
    </row>
    <row r="42" spans="1:17" ht="16.05" customHeight="1">
      <c r="A42" vm="283">
        <f ca="1"/>
        <v>44317</v>
      </c>
      <c r="B42" s="64" vm="284">
        <f ca="1"/>
        <v>23.34</v>
      </c>
      <c r="C42" s="64" vm="285">
        <f ca="1"/>
        <v>95.1417</v>
      </c>
      <c r="D42" s="64" vm="286">
        <f ca="1"/>
        <v>81.38</v>
      </c>
      <c r="E42" s="64" vm="287">
        <f ca="1"/>
        <v>53.835000000000001</v>
      </c>
      <c r="F42" s="64" vm="288">
        <f ca="1"/>
        <v>24.12</v>
      </c>
      <c r="G42" s="64" vm="289">
        <f ca="1"/>
        <v>95.29</v>
      </c>
      <c r="H42" s="64" vm="290">
        <f ca="1"/>
        <v>57.79</v>
      </c>
      <c r="J42" vm="283">
        <v>44317</v>
      </c>
      <c r="K42" s="119">
        <f t="shared" ca="1" si="0"/>
        <v>238.16326530612244</v>
      </c>
      <c r="L42" s="119">
        <f t="shared" ca="1" si="1"/>
        <v>188.59061067854935</v>
      </c>
      <c r="M42" s="119">
        <f t="shared" ca="1" si="2"/>
        <v>257.93977812995246</v>
      </c>
      <c r="N42" s="119">
        <f t="shared" ca="1" si="3"/>
        <v>244.98293515358361</v>
      </c>
      <c r="O42" s="119">
        <f t="shared" ca="1" si="4"/>
        <v>147.43276283618582</v>
      </c>
      <c r="P42" s="119">
        <f t="shared" ca="1" si="5"/>
        <v>232.41463414634148</v>
      </c>
      <c r="Q42" s="119">
        <f t="shared" ca="1" si="6"/>
        <v>201.00869565217391</v>
      </c>
    </row>
    <row r="43" spans="1:17" ht="16.05" customHeight="1">
      <c r="A43" vm="291">
        <f ca="1"/>
        <v>44348</v>
      </c>
      <c r="B43" s="64" vm="292">
        <f ca="1"/>
        <v>22.74</v>
      </c>
      <c r="C43" s="64" vm="293">
        <f ca="1"/>
        <v>95.468400000000003</v>
      </c>
      <c r="D43" s="64" vm="294">
        <f ca="1"/>
        <v>66.540000000000006</v>
      </c>
      <c r="E43" s="64" vm="295">
        <f ca="1"/>
        <v>47.04</v>
      </c>
      <c r="F43" s="64" vm="296">
        <f ca="1"/>
        <v>21.43</v>
      </c>
      <c r="G43" s="64" vm="297">
        <f ca="1"/>
        <v>90.37</v>
      </c>
      <c r="H43" s="64" vm="298">
        <f ca="1"/>
        <v>54.57</v>
      </c>
      <c r="J43" vm="291">
        <v>44348</v>
      </c>
      <c r="K43" s="119">
        <f t="shared" ca="1" si="0"/>
        <v>232.0408163265306</v>
      </c>
      <c r="L43" s="119">
        <f t="shared" ca="1" si="1"/>
        <v>189.23819793533247</v>
      </c>
      <c r="M43" s="119">
        <f t="shared" ca="1" si="2"/>
        <v>210.90332805071318</v>
      </c>
      <c r="N43" s="119">
        <f t="shared" ca="1" si="3"/>
        <v>214.06143344709898</v>
      </c>
      <c r="O43" s="119">
        <f t="shared" ca="1" si="4"/>
        <v>130.99022004889974</v>
      </c>
      <c r="P43" s="119">
        <f t="shared" ca="1" si="5"/>
        <v>220.41463414634146</v>
      </c>
      <c r="Q43" s="119">
        <f t="shared" ca="1" si="6"/>
        <v>189.8086956521739</v>
      </c>
    </row>
    <row r="44" spans="1:17" ht="16.05" customHeight="1">
      <c r="A44" vm="299">
        <f ca="1"/>
        <v>44378</v>
      </c>
      <c r="B44" s="64" vm="300">
        <f ca="1"/>
        <v>25.07</v>
      </c>
      <c r="C44" s="64" vm="301">
        <f ca="1"/>
        <v>101.04179999999999</v>
      </c>
      <c r="D44" s="64" vm="302">
        <f ca="1"/>
        <v>69.45</v>
      </c>
      <c r="E44" s="64" vm="303">
        <f ca="1"/>
        <v>54.29</v>
      </c>
      <c r="F44" s="64" vm="288">
        <f ca="1"/>
        <v>24.12</v>
      </c>
      <c r="G44" s="64" vm="304">
        <f ca="1"/>
        <v>95.43</v>
      </c>
      <c r="H44" s="64" vm="305">
        <f ca="1"/>
        <v>54.87</v>
      </c>
      <c r="J44" vm="299">
        <v>44378</v>
      </c>
      <c r="K44" s="119">
        <f t="shared" ca="1" si="0"/>
        <v>255.81632653061223</v>
      </c>
      <c r="L44" s="119">
        <f t="shared" ca="1" si="1"/>
        <v>200.28583435086662</v>
      </c>
      <c r="M44" s="119">
        <f t="shared" ca="1" si="2"/>
        <v>220.12678288431064</v>
      </c>
      <c r="N44" s="119">
        <f t="shared" ca="1" si="3"/>
        <v>247.05346985210466</v>
      </c>
      <c r="O44" s="119">
        <f t="shared" ca="1" si="4"/>
        <v>147.43276283618582</v>
      </c>
      <c r="P44" s="119">
        <f t="shared" ca="1" si="5"/>
        <v>232.75609756097563</v>
      </c>
      <c r="Q44" s="119">
        <f t="shared" ca="1" si="6"/>
        <v>190.85217391304346</v>
      </c>
    </row>
    <row r="45" spans="1:17" ht="16.05" customHeight="1">
      <c r="A45" vm="306">
        <f ca="1"/>
        <v>44409</v>
      </c>
      <c r="B45" s="64" vm="307">
        <f ca="1"/>
        <v>24.99</v>
      </c>
      <c r="C45" s="64" vm="308">
        <f ca="1"/>
        <v>103.1174</v>
      </c>
      <c r="D45" s="64" vm="309">
        <f ca="1"/>
        <v>70.099999999999994</v>
      </c>
      <c r="E45" s="64" vm="310">
        <f ca="1"/>
        <v>55.77</v>
      </c>
      <c r="F45" s="64" vm="311">
        <f ca="1"/>
        <v>23.77</v>
      </c>
      <c r="G45" s="64" vm="312">
        <f ca="1"/>
        <v>95.62</v>
      </c>
      <c r="H45" s="64" vm="313">
        <f ca="1"/>
        <v>53.86</v>
      </c>
      <c r="J45" vm="306">
        <v>44409</v>
      </c>
      <c r="K45" s="119">
        <f t="shared" ca="1" si="0"/>
        <v>254.99999999999997</v>
      </c>
      <c r="L45" s="119">
        <f t="shared" ca="1" si="1"/>
        <v>204.40010466056677</v>
      </c>
      <c r="M45" s="119">
        <f t="shared" ca="1" si="2"/>
        <v>222.18700475435816</v>
      </c>
      <c r="N45" s="119">
        <f t="shared" ca="1" si="3"/>
        <v>253.78839590443687</v>
      </c>
      <c r="O45" s="119">
        <f t="shared" ca="1" si="4"/>
        <v>145.29339853300732</v>
      </c>
      <c r="P45" s="119">
        <f t="shared" ca="1" si="5"/>
        <v>233.21951219512195</v>
      </c>
      <c r="Q45" s="119">
        <f t="shared" ca="1" si="6"/>
        <v>187.33913043478259</v>
      </c>
    </row>
    <row r="46" spans="1:17" ht="16.05" customHeight="1">
      <c r="A46" vm="314">
        <f ca="1"/>
        <v>44440</v>
      </c>
      <c r="B46" s="64" vm="315">
        <f ca="1"/>
        <v>20.52</v>
      </c>
      <c r="C46" s="64" vm="316">
        <f ca="1"/>
        <v>90.019900000000007</v>
      </c>
      <c r="D46" s="64" vm="317">
        <f ca="1"/>
        <v>61.45</v>
      </c>
      <c r="E46" s="64" vm="318">
        <f ca="1"/>
        <v>48.5</v>
      </c>
      <c r="F46" s="64" vm="319">
        <f ca="1"/>
        <v>21.02</v>
      </c>
      <c r="G46" s="64" vm="320">
        <f ca="1"/>
        <v>83.97</v>
      </c>
      <c r="H46" s="64" vm="321">
        <f ca="1"/>
        <v>45.92</v>
      </c>
      <c r="J46" vm="314">
        <v>44440</v>
      </c>
      <c r="K46" s="119">
        <f t="shared" ca="1" si="0"/>
        <v>209.38775510204081</v>
      </c>
      <c r="L46" s="119">
        <f t="shared" ca="1" si="1"/>
        <v>178.43813926198445</v>
      </c>
      <c r="M46" s="119">
        <f t="shared" ca="1" si="2"/>
        <v>194.77020602218701</v>
      </c>
      <c r="N46" s="119">
        <f t="shared" ca="1" si="3"/>
        <v>220.70534698521047</v>
      </c>
      <c r="O46" s="119">
        <f t="shared" ca="1" si="4"/>
        <v>128.48410757946209</v>
      </c>
      <c r="P46" s="119">
        <f t="shared" ca="1" si="5"/>
        <v>204.80487804878047</v>
      </c>
      <c r="Q46" s="119">
        <f t="shared" ca="1" si="6"/>
        <v>159.72173913043477</v>
      </c>
    </row>
    <row r="47" spans="1:17" ht="16.05" customHeight="1">
      <c r="A47" vm="322">
        <f ca="1"/>
        <v>44470</v>
      </c>
      <c r="B47" s="64" vm="323">
        <f ca="1"/>
        <v>26.05</v>
      </c>
      <c r="C47" s="64" vm="324">
        <f ca="1"/>
        <v>96.025700000000001</v>
      </c>
      <c r="D47" s="64" vm="325">
        <f ca="1"/>
        <v>67.06</v>
      </c>
      <c r="E47" s="64" vm="326">
        <f ca="1"/>
        <v>54.354999999999997</v>
      </c>
      <c r="F47" s="64" vm="327">
        <f ca="1"/>
        <v>24.19</v>
      </c>
      <c r="G47" s="64" vm="328">
        <f ca="1"/>
        <v>89.27</v>
      </c>
      <c r="H47" s="64" vm="329">
        <f ca="1"/>
        <v>48.08</v>
      </c>
      <c r="J47" vm="322">
        <v>44470</v>
      </c>
      <c r="K47" s="119">
        <f t="shared" ca="1" si="0"/>
        <v>265.81632653061223</v>
      </c>
      <c r="L47" s="119">
        <f t="shared" ca="1" si="1"/>
        <v>190.34288228857773</v>
      </c>
      <c r="M47" s="119">
        <f t="shared" ca="1" si="2"/>
        <v>212.5515055467512</v>
      </c>
      <c r="N47" s="119">
        <f t="shared" ca="1" si="3"/>
        <v>247.34926052332193</v>
      </c>
      <c r="O47" s="119">
        <f t="shared" ca="1" si="4"/>
        <v>147.86063569682153</v>
      </c>
      <c r="P47" s="119">
        <f t="shared" ca="1" si="5"/>
        <v>217.73170731707316</v>
      </c>
      <c r="Q47" s="119">
        <f t="shared" ca="1" si="6"/>
        <v>167.23478260869564</v>
      </c>
    </row>
    <row r="48" spans="1:17" ht="16.05" customHeight="1">
      <c r="A48" vm="330">
        <f ca="1"/>
        <v>44501</v>
      </c>
      <c r="B48" s="64" vm="331">
        <f ca="1"/>
        <v>24.95</v>
      </c>
      <c r="C48" s="64" vm="332">
        <f ca="1"/>
        <v>100.9457</v>
      </c>
      <c r="D48" s="64" vm="333">
        <f ca="1"/>
        <v>71.069999999999993</v>
      </c>
      <c r="E48" s="64" vm="334">
        <f ca="1"/>
        <v>56.43</v>
      </c>
      <c r="F48" s="64" vm="335">
        <f ca="1"/>
        <v>24.97</v>
      </c>
      <c r="G48" s="64" vm="336">
        <f ca="1"/>
        <v>97.7</v>
      </c>
      <c r="H48" s="64" vm="337">
        <f ca="1"/>
        <v>50.03</v>
      </c>
      <c r="J48" vm="330">
        <v>44501</v>
      </c>
      <c r="K48" s="119">
        <f t="shared" ca="1" si="0"/>
        <v>254.59183673469386</v>
      </c>
      <c r="L48" s="119">
        <f t="shared" ca="1" si="1"/>
        <v>200.09534419054569</v>
      </c>
      <c r="M48" s="119">
        <f t="shared" ca="1" si="2"/>
        <v>225.26148969889064</v>
      </c>
      <c r="N48" s="119">
        <f t="shared" ca="1" si="3"/>
        <v>256.79180887372013</v>
      </c>
      <c r="O48" s="119">
        <f t="shared" ca="1" si="4"/>
        <v>152.62836185819071</v>
      </c>
      <c r="P48" s="119">
        <f t="shared" ca="1" si="5"/>
        <v>238.29268292682926</v>
      </c>
      <c r="Q48" s="119">
        <f t="shared" ca="1" si="6"/>
        <v>174.01739130434783</v>
      </c>
    </row>
    <row r="49" spans="1:17" ht="16.05" customHeight="1">
      <c r="A49" vm="338">
        <f ca="1"/>
        <v>44531</v>
      </c>
      <c r="B49" s="64" vm="339">
        <f ca="1"/>
        <v>30.33</v>
      </c>
      <c r="C49" s="64" vm="340">
        <f ca="1"/>
        <v>111.6216</v>
      </c>
      <c r="D49" s="64" vm="341">
        <f ca="1"/>
        <v>81.790000000000006</v>
      </c>
      <c r="E49" s="64" vm="342">
        <f ca="1"/>
        <v>61.03</v>
      </c>
      <c r="F49" s="64" vm="343">
        <f ca="1"/>
        <v>27.89</v>
      </c>
      <c r="G49" s="64" vm="344">
        <f ca="1"/>
        <v>108.45</v>
      </c>
      <c r="H49" s="64" vm="345">
        <f ca="1"/>
        <v>57.16</v>
      </c>
      <c r="J49" vm="338">
        <v>44531</v>
      </c>
      <c r="K49" s="119">
        <f t="shared" ca="1" si="0"/>
        <v>309.48979591836735</v>
      </c>
      <c r="L49" s="119">
        <f t="shared" ca="1" si="1"/>
        <v>221.25719541396427</v>
      </c>
      <c r="M49" s="119">
        <f t="shared" ca="1" si="2"/>
        <v>259.23930269413631</v>
      </c>
      <c r="N49" s="119">
        <f t="shared" ca="1" si="3"/>
        <v>277.72468714448235</v>
      </c>
      <c r="O49" s="119">
        <f t="shared" ca="1" si="4"/>
        <v>170.47677261613691</v>
      </c>
      <c r="P49" s="119">
        <f t="shared" ca="1" si="5"/>
        <v>264.51219512195121</v>
      </c>
      <c r="Q49" s="119">
        <f t="shared" ca="1" si="6"/>
        <v>198.81739130434781</v>
      </c>
    </row>
    <row r="50" spans="1:17" ht="16.05" customHeight="1">
      <c r="A50" vm="346">
        <f ca="1"/>
        <v>44562</v>
      </c>
      <c r="B50" s="64" vm="347">
        <f ca="1"/>
        <v>23.68</v>
      </c>
      <c r="C50" s="64" vm="348">
        <f ca="1"/>
        <v>92.355000000000004</v>
      </c>
      <c r="D50" s="64" vm="349">
        <f ca="1"/>
        <v>65.849999999999994</v>
      </c>
      <c r="E50" s="64" vm="350">
        <f ca="1"/>
        <v>51.015000000000001</v>
      </c>
      <c r="F50" s="64" vm="351">
        <f ca="1"/>
        <v>23.81</v>
      </c>
      <c r="G50" s="64" vm="352">
        <f ca="1"/>
        <v>89.22</v>
      </c>
      <c r="H50" s="64" vm="353">
        <f ca="1"/>
        <v>52.69</v>
      </c>
      <c r="J50" vm="346">
        <v>44562</v>
      </c>
      <c r="K50" s="119">
        <f t="shared" ca="1" si="0"/>
        <v>241.63265306122449</v>
      </c>
      <c r="L50" s="119">
        <f t="shared" ca="1" si="1"/>
        <v>183.06679247078227</v>
      </c>
      <c r="M50" s="119">
        <f t="shared" ca="1" si="2"/>
        <v>208.71632329635497</v>
      </c>
      <c r="N50" s="119">
        <f t="shared" ca="1" si="3"/>
        <v>232.15017064846415</v>
      </c>
      <c r="O50" s="119">
        <f t="shared" ca="1" si="4"/>
        <v>145.53789731051344</v>
      </c>
      <c r="P50" s="119">
        <f t="shared" ca="1" si="5"/>
        <v>217.60975609756096</v>
      </c>
      <c r="Q50" s="119">
        <f t="shared" ca="1" si="6"/>
        <v>183.26956521739129</v>
      </c>
    </row>
    <row r="51" spans="1:17" ht="16.05" customHeight="1">
      <c r="A51" vm="354">
        <f ca="1"/>
        <v>44593</v>
      </c>
      <c r="B51" s="64" vm="355">
        <f ca="1"/>
        <v>23.19</v>
      </c>
      <c r="C51" s="64" vm="356">
        <f ca="1"/>
        <v>86.368399999999994</v>
      </c>
      <c r="D51" s="64" vm="357">
        <f ca="1"/>
        <v>63.72</v>
      </c>
      <c r="E51" s="64" vm="358">
        <f ca="1"/>
        <v>49.29</v>
      </c>
      <c r="F51" s="64" vm="359">
        <f ca="1"/>
        <v>22.37</v>
      </c>
      <c r="G51" s="64" vm="360">
        <f ca="1"/>
        <v>85.4</v>
      </c>
      <c r="H51" s="64" vm="361">
        <f ca="1"/>
        <v>49.66</v>
      </c>
      <c r="J51" vm="354">
        <v>44593</v>
      </c>
      <c r="K51" s="119">
        <f t="shared" ca="1" si="0"/>
        <v>236.63265306122449</v>
      </c>
      <c r="L51" s="119">
        <f t="shared" ca="1" si="1"/>
        <v>171.20010783209906</v>
      </c>
      <c r="M51" s="119">
        <f t="shared" ca="1" si="2"/>
        <v>201.96513470681458</v>
      </c>
      <c r="N51" s="119">
        <f t="shared" ca="1" si="3"/>
        <v>224.30034129692831</v>
      </c>
      <c r="O51" s="119">
        <f t="shared" ca="1" si="4"/>
        <v>136.73594132029339</v>
      </c>
      <c r="P51" s="119">
        <f t="shared" ca="1" si="5"/>
        <v>208.29268292682929</v>
      </c>
      <c r="Q51" s="119">
        <f t="shared" ca="1" si="6"/>
        <v>172.73043478260868</v>
      </c>
    </row>
    <row r="52" spans="1:17" ht="16.05" customHeight="1">
      <c r="A52" vm="362">
        <f ca="1"/>
        <v>44621</v>
      </c>
      <c r="B52" s="64" vm="363">
        <f ca="1"/>
        <v>19.760000000000002</v>
      </c>
      <c r="C52" s="64" vm="364">
        <f ca="1"/>
        <v>77.998699999999999</v>
      </c>
      <c r="D52" s="64" vm="365">
        <f ca="1"/>
        <v>53.57</v>
      </c>
      <c r="E52" s="64" vm="366">
        <f ca="1"/>
        <v>39.615000000000002</v>
      </c>
      <c r="F52" s="64" vm="367">
        <f ca="1"/>
        <v>20.079999999999998</v>
      </c>
      <c r="G52" s="64" vm="368">
        <f ca="1"/>
        <v>74.510000000000005</v>
      </c>
      <c r="H52" s="64" vm="369">
        <f ca="1"/>
        <v>41.9</v>
      </c>
      <c r="J52" vm="362">
        <v>44621</v>
      </c>
      <c r="K52" s="119">
        <f t="shared" ca="1" si="0"/>
        <v>201.63265306122449</v>
      </c>
      <c r="L52" s="119">
        <f t="shared" ca="1" si="1"/>
        <v>154.60962401484278</v>
      </c>
      <c r="M52" s="119">
        <f t="shared" ca="1" si="2"/>
        <v>169.79397781299525</v>
      </c>
      <c r="N52" s="119">
        <f t="shared" ca="1" si="3"/>
        <v>180.27303754266211</v>
      </c>
      <c r="O52" s="119">
        <f t="shared" ca="1" si="4"/>
        <v>122.73838630806844</v>
      </c>
      <c r="P52" s="119">
        <f t="shared" ca="1" si="5"/>
        <v>181.73170731707319</v>
      </c>
      <c r="Q52" s="119">
        <f t="shared" ca="1" si="6"/>
        <v>145.7391304347826</v>
      </c>
    </row>
    <row r="53" spans="1:17" ht="16.05" customHeight="1">
      <c r="A53" vm="370">
        <f ca="1"/>
        <v>44652</v>
      </c>
      <c r="B53" s="64" vm="371">
        <f ca="1"/>
        <v>19.7</v>
      </c>
      <c r="C53" s="64" vm="372">
        <f ca="1"/>
        <v>73.501499999999993</v>
      </c>
      <c r="D53" s="64" vm="373">
        <f ca="1"/>
        <v>52.72</v>
      </c>
      <c r="E53" s="64" vm="374">
        <f ca="1"/>
        <v>41.274999999999999</v>
      </c>
      <c r="F53" s="64" vm="375">
        <f ca="1"/>
        <v>20.67</v>
      </c>
      <c r="G53" s="64" vm="376">
        <f ca="1"/>
        <v>69.59</v>
      </c>
      <c r="H53" s="64" vm="377">
        <f ca="1"/>
        <v>41.76</v>
      </c>
      <c r="J53" vm="370">
        <v>44652</v>
      </c>
      <c r="K53" s="119">
        <f t="shared" ca="1" si="0"/>
        <v>201.0204081632653</v>
      </c>
      <c r="L53" s="119">
        <f t="shared" ca="1" si="1"/>
        <v>145.69523952997889</v>
      </c>
      <c r="M53" s="119">
        <f t="shared" ca="1" si="2"/>
        <v>167.09984152139461</v>
      </c>
      <c r="N53" s="119">
        <f t="shared" ca="1" si="3"/>
        <v>187.82707622298065</v>
      </c>
      <c r="O53" s="119">
        <f t="shared" ca="1" si="4"/>
        <v>126.34474327628362</v>
      </c>
      <c r="P53" s="119">
        <f t="shared" ca="1" si="5"/>
        <v>169.73170731707319</v>
      </c>
      <c r="Q53" s="119">
        <f t="shared" ca="1" si="6"/>
        <v>145.25217391304346</v>
      </c>
    </row>
    <row r="54" spans="1:17" ht="16.05" customHeight="1">
      <c r="A54" vm="378">
        <f ca="1"/>
        <v>44682</v>
      </c>
      <c r="B54" s="64" vm="379">
        <f ca="1"/>
        <v>24.32</v>
      </c>
      <c r="C54" s="64" vm="380">
        <f ca="1"/>
        <v>77.114599999999996</v>
      </c>
      <c r="D54" s="64" vm="381">
        <f ca="1"/>
        <v>54.37</v>
      </c>
      <c r="E54" s="64" vm="382">
        <f ca="1"/>
        <v>42.655000000000001</v>
      </c>
      <c r="F54" s="64" vm="383">
        <f ca="1"/>
        <v>21.07</v>
      </c>
      <c r="G54" s="64" vm="384">
        <f ca="1"/>
        <v>75.150000000000006</v>
      </c>
      <c r="H54" s="64" vm="385">
        <f ca="1"/>
        <v>45.26</v>
      </c>
      <c r="J54" vm="378">
        <v>44682</v>
      </c>
      <c r="K54" s="119">
        <f t="shared" ca="1" si="0"/>
        <v>248.16326530612244</v>
      </c>
      <c r="L54" s="119">
        <f t="shared" ca="1" si="1"/>
        <v>152.85715418404402</v>
      </c>
      <c r="M54" s="119">
        <f t="shared" ca="1" si="2"/>
        <v>172.3296354992076</v>
      </c>
      <c r="N54" s="119">
        <f t="shared" ca="1" si="3"/>
        <v>194.10693970420934</v>
      </c>
      <c r="O54" s="119">
        <f t="shared" ca="1" si="4"/>
        <v>128.78973105134475</v>
      </c>
      <c r="P54" s="119">
        <f t="shared" ca="1" si="5"/>
        <v>183.29268292682929</v>
      </c>
      <c r="Q54" s="119">
        <f t="shared" ca="1" si="6"/>
        <v>157.42608695652171</v>
      </c>
    </row>
    <row r="55" spans="1:17" ht="16.05" customHeight="1">
      <c r="A55" vm="386">
        <f ca="1"/>
        <v>44713</v>
      </c>
      <c r="B55" s="64" vm="387">
        <f ca="1"/>
        <v>19.57</v>
      </c>
      <c r="C55" s="64" vm="388">
        <f ca="1"/>
        <v>67.812799999999996</v>
      </c>
      <c r="D55" s="64" vm="389">
        <f ca="1"/>
        <v>44.97</v>
      </c>
      <c r="E55" s="64" vm="390">
        <f ca="1"/>
        <v>36.25</v>
      </c>
      <c r="F55" s="64" vm="391">
        <f ca="1"/>
        <v>16.87</v>
      </c>
      <c r="G55" s="64" vm="392">
        <f ca="1"/>
        <v>66.19</v>
      </c>
      <c r="H55" s="64" vm="393">
        <f ca="1"/>
        <v>39.630000000000003</v>
      </c>
      <c r="J55" vm="386">
        <v>44713</v>
      </c>
      <c r="K55" s="119">
        <f t="shared" ca="1" si="0"/>
        <v>199.69387755102042</v>
      </c>
      <c r="L55" s="119">
        <f t="shared" ca="1" si="1"/>
        <v>134.41905456621367</v>
      </c>
      <c r="M55" s="119">
        <f t="shared" ca="1" si="2"/>
        <v>142.53565768621237</v>
      </c>
      <c r="N55" s="119">
        <f t="shared" ca="1" si="3"/>
        <v>164.96018202502844</v>
      </c>
      <c r="O55" s="119">
        <f t="shared" ca="1" si="4"/>
        <v>103.11735941320293</v>
      </c>
      <c r="P55" s="119">
        <f t="shared" ca="1" si="5"/>
        <v>161.4390243902439</v>
      </c>
      <c r="Q55" s="119">
        <f t="shared" ca="1" si="6"/>
        <v>137.84347826086957</v>
      </c>
    </row>
    <row r="56" spans="1:17" ht="16.05" customHeight="1">
      <c r="A56" vm="394">
        <f ca="1"/>
        <v>44743</v>
      </c>
      <c r="B56" s="64" vm="395">
        <f ca="1"/>
        <v>26.8</v>
      </c>
      <c r="C56" s="64" vm="396">
        <f ca="1"/>
        <v>81.679000000000002</v>
      </c>
      <c r="D56" s="64" vm="397">
        <f ca="1"/>
        <v>51.17</v>
      </c>
      <c r="E56" s="64" vm="398">
        <f ca="1"/>
        <v>44.15</v>
      </c>
      <c r="F56" s="64" vm="399">
        <f ca="1"/>
        <v>18.52</v>
      </c>
      <c r="G56" s="64" vm="400">
        <f ca="1"/>
        <v>78.03</v>
      </c>
      <c r="H56" s="64" vm="401">
        <f ca="1"/>
        <v>43.62</v>
      </c>
      <c r="J56" vm="394">
        <v>44743</v>
      </c>
      <c r="K56" s="119">
        <f t="shared" ca="1" si="0"/>
        <v>273.46938775510205</v>
      </c>
      <c r="L56" s="119">
        <f t="shared" ca="1" si="1"/>
        <v>161.90474302659331</v>
      </c>
      <c r="M56" s="119">
        <f t="shared" ca="1" si="2"/>
        <v>162.18700475435816</v>
      </c>
      <c r="N56" s="119">
        <f t="shared" ca="1" si="3"/>
        <v>200.91012514220705</v>
      </c>
      <c r="O56" s="119">
        <f t="shared" ca="1" si="4"/>
        <v>113.20293398533008</v>
      </c>
      <c r="P56" s="119">
        <f t="shared" ca="1" si="5"/>
        <v>190.3170731707317</v>
      </c>
      <c r="Q56" s="119">
        <f t="shared" ca="1" si="6"/>
        <v>151.72173913043477</v>
      </c>
    </row>
    <row r="57" spans="1:17" ht="16.05" customHeight="1">
      <c r="A57" vm="402">
        <f ca="1"/>
        <v>44774</v>
      </c>
      <c r="B57" s="64" vm="403">
        <f ca="1"/>
        <v>24.36</v>
      </c>
      <c r="C57" s="64" vm="404">
        <f ca="1"/>
        <v>74.424000000000007</v>
      </c>
      <c r="D57" s="64" vm="405">
        <f ca="1"/>
        <v>46.69</v>
      </c>
      <c r="E57" s="64" vm="406">
        <f ca="1"/>
        <v>39.174999999999997</v>
      </c>
      <c r="F57" s="64" vm="407">
        <f ca="1"/>
        <v>17.329999999999998</v>
      </c>
      <c r="G57" s="64" vm="408">
        <f ca="1"/>
        <v>71.150000000000006</v>
      </c>
      <c r="H57" s="64" vm="409">
        <f ca="1"/>
        <v>40.659999999999997</v>
      </c>
      <c r="J57" vm="402">
        <v>44774</v>
      </c>
      <c r="K57" s="119">
        <f t="shared" ca="1" si="0"/>
        <v>248.57142857142856</v>
      </c>
      <c r="L57" s="119">
        <f t="shared" ca="1" si="1"/>
        <v>147.52382613659793</v>
      </c>
      <c r="M57" s="119">
        <f t="shared" ca="1" si="2"/>
        <v>147.98732171156894</v>
      </c>
      <c r="N57" s="119">
        <f t="shared" ca="1" si="3"/>
        <v>178.27076222980659</v>
      </c>
      <c r="O57" s="119">
        <f t="shared" ca="1" si="4"/>
        <v>105.92909535452321</v>
      </c>
      <c r="P57" s="119">
        <f t="shared" ca="1" si="5"/>
        <v>173.53658536585368</v>
      </c>
      <c r="Q57" s="119">
        <f t="shared" ca="1" si="6"/>
        <v>141.42608695652171</v>
      </c>
    </row>
    <row r="58" spans="1:17" ht="16.05" customHeight="1">
      <c r="A58" vm="410">
        <f ca="1"/>
        <v>44805</v>
      </c>
      <c r="B58" s="64" vm="411">
        <f ca="1"/>
        <v>21.38</v>
      </c>
      <c r="C58" s="64" vm="412">
        <f ca="1"/>
        <v>71.637299999999996</v>
      </c>
      <c r="D58" s="64" vm="413">
        <f ca="1"/>
        <v>42.78</v>
      </c>
      <c r="E58" s="64" vm="414">
        <f ca="1"/>
        <v>35.134999999999998</v>
      </c>
      <c r="F58" s="64" vm="415">
        <f ca="1"/>
        <v>15.11</v>
      </c>
      <c r="G58" s="64" vm="416">
        <f ca="1"/>
        <v>67.349999999999994</v>
      </c>
      <c r="H58" s="64" vm="417">
        <f ca="1"/>
        <v>37.5</v>
      </c>
      <c r="J58" vm="410">
        <v>44805</v>
      </c>
      <c r="K58" s="119">
        <f t="shared" ca="1" si="0"/>
        <v>218.16326530612244</v>
      </c>
      <c r="L58" s="119">
        <f t="shared" ca="1" si="1"/>
        <v>142.00000792883083</v>
      </c>
      <c r="M58" s="119">
        <f t="shared" ca="1" si="2"/>
        <v>135.59429477020603</v>
      </c>
      <c r="N58" s="119">
        <f t="shared" ca="1" si="3"/>
        <v>159.88623435722411</v>
      </c>
      <c r="O58" s="119">
        <f t="shared" ca="1" si="4"/>
        <v>92.359413202933979</v>
      </c>
      <c r="P58" s="119">
        <f t="shared" ca="1" si="5"/>
        <v>164.26829268292681</v>
      </c>
      <c r="Q58" s="119">
        <f t="shared" ca="1" si="6"/>
        <v>130.43478260869566</v>
      </c>
    </row>
    <row r="59" spans="1:17" ht="16.05" customHeight="1">
      <c r="A59" vm="418">
        <f ca="1"/>
        <v>44835</v>
      </c>
      <c r="B59" s="64" vm="419">
        <f ca="1"/>
        <v>23.13</v>
      </c>
      <c r="C59" s="64" vm="420">
        <f ca="1"/>
        <v>77.5471</v>
      </c>
      <c r="D59" s="64" vm="29">
        <f ca="1"/>
        <v>44.51</v>
      </c>
      <c r="E59" s="64" vm="421">
        <f ca="1"/>
        <v>38.08</v>
      </c>
      <c r="F59" s="64" vm="422">
        <f ca="1"/>
        <v>16.75</v>
      </c>
      <c r="G59" s="64" vm="423">
        <f ca="1"/>
        <v>76.88</v>
      </c>
      <c r="H59" s="64" vm="424">
        <f ca="1"/>
        <v>39.99</v>
      </c>
      <c r="J59" vm="418">
        <v>44835</v>
      </c>
      <c r="K59" s="119">
        <f t="shared" ca="1" si="0"/>
        <v>236.0204081632653</v>
      </c>
      <c r="L59" s="119">
        <f t="shared" ca="1" si="1"/>
        <v>153.71445901587353</v>
      </c>
      <c r="M59" s="119">
        <f t="shared" ca="1" si="2"/>
        <v>141.07765451664025</v>
      </c>
      <c r="N59" s="119">
        <f t="shared" ca="1" si="3"/>
        <v>173.28782707622298</v>
      </c>
      <c r="O59" s="119">
        <f t="shared" ca="1" si="4"/>
        <v>102.38386308068459</v>
      </c>
      <c r="P59" s="119">
        <f t="shared" ca="1" si="5"/>
        <v>187.51219512195121</v>
      </c>
      <c r="Q59" s="119">
        <f t="shared" ca="1" si="6"/>
        <v>139.09565217391304</v>
      </c>
    </row>
    <row r="60" spans="1:17" ht="16.05" customHeight="1">
      <c r="A60" vm="425">
        <f ca="1"/>
        <v>44866</v>
      </c>
      <c r="B60" s="64" vm="426">
        <f ca="1"/>
        <v>24.18</v>
      </c>
      <c r="C60" s="64" vm="427">
        <f ca="1"/>
        <v>84.398499999999999</v>
      </c>
      <c r="D60" s="64" vm="428">
        <f ca="1"/>
        <v>48.16</v>
      </c>
      <c r="E60" s="64" vm="429">
        <f ca="1"/>
        <v>43.204999999999998</v>
      </c>
      <c r="F60" s="64" vm="430">
        <f ca="1"/>
        <v>18.440000000000001</v>
      </c>
      <c r="G60" s="64" vm="431">
        <f ca="1"/>
        <v>86</v>
      </c>
      <c r="H60" s="64" vm="432">
        <f ca="1"/>
        <v>44.78</v>
      </c>
      <c r="J60" vm="425">
        <v>44866</v>
      </c>
      <c r="K60" s="119">
        <f t="shared" ca="1" si="0"/>
        <v>246.73469387755102</v>
      </c>
      <c r="L60" s="119">
        <f t="shared" ca="1" si="1"/>
        <v>167.29535687667499</v>
      </c>
      <c r="M60" s="119">
        <f t="shared" ca="1" si="2"/>
        <v>152.64659270998413</v>
      </c>
      <c r="N60" s="119">
        <f t="shared" ca="1" si="3"/>
        <v>196.60978384527871</v>
      </c>
      <c r="O60" s="119">
        <f t="shared" ca="1" si="4"/>
        <v>112.71393643031786</v>
      </c>
      <c r="P60" s="119">
        <f t="shared" ca="1" si="5"/>
        <v>209.7560975609756</v>
      </c>
      <c r="Q60" s="119">
        <f t="shared" ca="1" si="6"/>
        <v>155.75652173913045</v>
      </c>
    </row>
    <row r="61" spans="1:17" ht="16.05" customHeight="1">
      <c r="A61" vm="433">
        <f ca="1"/>
        <v>44896</v>
      </c>
      <c r="B61" s="64" vm="434">
        <f ca="1"/>
        <v>24.23</v>
      </c>
      <c r="C61" s="64" vm="435">
        <f ca="1"/>
        <v>86.964200000000005</v>
      </c>
      <c r="D61" s="64" vm="436">
        <f ca="1"/>
        <v>50.01</v>
      </c>
      <c r="E61" s="64" vm="437">
        <f ca="1"/>
        <v>46.1</v>
      </c>
      <c r="F61" s="64" vm="438">
        <f ca="1"/>
        <v>18.59</v>
      </c>
      <c r="G61" s="64" vm="439">
        <f ca="1"/>
        <v>89.14</v>
      </c>
      <c r="H61" s="64" vm="440">
        <f ca="1"/>
        <v>45.53</v>
      </c>
      <c r="J61" vm="433">
        <v>44896</v>
      </c>
      <c r="K61" s="119">
        <f t="shared" ca="1" si="0"/>
        <v>247.24489795918367</v>
      </c>
      <c r="L61" s="119">
        <f t="shared" ca="1" si="1"/>
        <v>172.38110718193496</v>
      </c>
      <c r="M61" s="119">
        <f t="shared" ca="1" si="2"/>
        <v>158.51030110935022</v>
      </c>
      <c r="N61" s="119">
        <f t="shared" ca="1" si="3"/>
        <v>209.78384527872583</v>
      </c>
      <c r="O61" s="119">
        <f t="shared" ca="1" si="4"/>
        <v>113.63080684596576</v>
      </c>
      <c r="P61" s="119">
        <f t="shared" ca="1" si="5"/>
        <v>217.41463414634146</v>
      </c>
      <c r="Q61" s="119">
        <f t="shared" ca="1" si="6"/>
        <v>158.36521739130436</v>
      </c>
    </row>
    <row r="62" spans="1:17" ht="16.05" customHeight="1">
      <c r="A62" vm="441">
        <f ca="1"/>
        <v>44927</v>
      </c>
      <c r="B62" s="64" vm="442">
        <f ca="1"/>
        <v>31.2</v>
      </c>
      <c r="C62" s="64" vm="443">
        <f ca="1"/>
        <v>98.399199999999993</v>
      </c>
      <c r="D62" s="64" vm="444">
        <f ca="1"/>
        <v>61.2</v>
      </c>
      <c r="E62" s="64" vm="445">
        <f ca="1"/>
        <v>53.844999999999999</v>
      </c>
      <c r="F62" s="64" vm="446">
        <f ca="1"/>
        <v>22.09</v>
      </c>
      <c r="G62" s="64" vm="447">
        <f ca="1"/>
        <v>98.69</v>
      </c>
      <c r="H62" s="64" vm="448">
        <f ca="1"/>
        <v>56.89</v>
      </c>
      <c r="J62" vm="441">
        <v>44927</v>
      </c>
      <c r="K62" s="119">
        <f t="shared" ca="1" si="0"/>
        <v>318.36734693877548</v>
      </c>
      <c r="L62" s="119">
        <f t="shared" ca="1" si="1"/>
        <v>195.04765227319578</v>
      </c>
      <c r="M62" s="119">
        <f t="shared" ca="1" si="2"/>
        <v>193.97781299524564</v>
      </c>
      <c r="N62" s="119">
        <f t="shared" ca="1" si="3"/>
        <v>245.02844141069397</v>
      </c>
      <c r="O62" s="119">
        <f t="shared" ca="1" si="4"/>
        <v>135.02444987775061</v>
      </c>
      <c r="P62" s="119">
        <f t="shared" ca="1" si="5"/>
        <v>240.70731707317071</v>
      </c>
      <c r="Q62" s="119">
        <f t="shared" ca="1" si="6"/>
        <v>197.87826086956522</v>
      </c>
    </row>
    <row r="63" spans="1:17" ht="16.05" customHeight="1">
      <c r="A63" vm="449">
        <f ca="1"/>
        <v>44958</v>
      </c>
      <c r="B63" s="64" vm="442">
        <f ca="1"/>
        <v>31.2</v>
      </c>
      <c r="C63" s="64" vm="450">
        <f ca="1"/>
        <v>92.960400000000007</v>
      </c>
      <c r="D63" s="64" vm="451">
        <f ca="1"/>
        <v>59.81</v>
      </c>
      <c r="E63" s="64" vm="452">
        <f ca="1"/>
        <v>54.615000000000002</v>
      </c>
      <c r="F63" s="64" vm="453">
        <f ca="1"/>
        <v>23.84</v>
      </c>
      <c r="G63" s="64" vm="454">
        <f ca="1"/>
        <v>92.48</v>
      </c>
      <c r="H63" s="64" vm="455">
        <f ca="1"/>
        <v>54.67</v>
      </c>
      <c r="J63" vm="449">
        <v>44958</v>
      </c>
      <c r="K63" s="119">
        <f t="shared" ca="1" si="0"/>
        <v>318.36734693877548</v>
      </c>
      <c r="L63" s="119">
        <f t="shared" ca="1" si="1"/>
        <v>184.26682101457322</v>
      </c>
      <c r="M63" s="119">
        <f t="shared" ca="1" si="2"/>
        <v>189.57210776545168</v>
      </c>
      <c r="N63" s="119">
        <f t="shared" ca="1" si="3"/>
        <v>248.53242320819112</v>
      </c>
      <c r="O63" s="119">
        <f t="shared" ca="1" si="4"/>
        <v>145.72127139364304</v>
      </c>
      <c r="P63" s="119">
        <f t="shared" ca="1" si="5"/>
        <v>225.5609756097561</v>
      </c>
      <c r="Q63" s="119">
        <f t="shared" ca="1" si="6"/>
        <v>190.15652173913043</v>
      </c>
    </row>
    <row r="64" spans="1:17" ht="16.05" customHeight="1">
      <c r="A64" vm="456">
        <f ca="1"/>
        <v>44986</v>
      </c>
      <c r="B64" s="64" vm="457">
        <f ca="1"/>
        <v>35.06</v>
      </c>
      <c r="C64" s="64" vm="458">
        <f ca="1"/>
        <v>101.0034</v>
      </c>
      <c r="D64" s="64" vm="459">
        <f ca="1"/>
        <v>63.92</v>
      </c>
      <c r="E64" s="64" vm="460">
        <f ca="1"/>
        <v>58.38</v>
      </c>
      <c r="F64" s="64" vm="461">
        <f ca="1"/>
        <v>25.32</v>
      </c>
      <c r="G64" s="64" vm="462">
        <f ca="1"/>
        <v>97.69</v>
      </c>
      <c r="H64" s="64" vm="463">
        <f ca="1"/>
        <v>58.28</v>
      </c>
      <c r="J64" vm="456">
        <v>44986</v>
      </c>
      <c r="K64" s="119">
        <f t="shared" ca="1" si="0"/>
        <v>357.75510204081633</v>
      </c>
      <c r="L64" s="119">
        <f t="shared" ca="1" si="1"/>
        <v>200.2097175750464</v>
      </c>
      <c r="M64" s="119">
        <f t="shared" ca="1" si="2"/>
        <v>202.59904912836768</v>
      </c>
      <c r="N64" s="119">
        <f t="shared" ca="1" si="3"/>
        <v>265.66552901023891</v>
      </c>
      <c r="O64" s="119">
        <f t="shared" ca="1" si="4"/>
        <v>154.76772616136918</v>
      </c>
      <c r="P64" s="119">
        <f t="shared" ca="1" si="5"/>
        <v>238.26829268292681</v>
      </c>
      <c r="Q64" s="119">
        <f t="shared" ca="1" si="6"/>
        <v>202.71304347826086</v>
      </c>
    </row>
    <row r="65" spans="1:17" ht="16.05" customHeight="1">
      <c r="A65" vm="464">
        <f ca="1"/>
        <v>45017</v>
      </c>
      <c r="B65" s="64" vm="465">
        <f ca="1"/>
        <v>37.270000000000003</v>
      </c>
      <c r="C65" s="64" vm="466">
        <f ca="1"/>
        <v>108.4025</v>
      </c>
      <c r="D65" s="64" vm="467">
        <f ca="1"/>
        <v>67.34</v>
      </c>
      <c r="E65" s="64" vm="468">
        <f ca="1"/>
        <v>64.025000000000006</v>
      </c>
      <c r="F65" s="64" vm="469">
        <f ca="1"/>
        <v>28.68</v>
      </c>
      <c r="G65" s="64" vm="470">
        <f ca="1"/>
        <v>109.82</v>
      </c>
      <c r="H65" s="64" vm="471">
        <f ca="1"/>
        <v>67.150000000000006</v>
      </c>
      <c r="J65" vm="464">
        <v>45017</v>
      </c>
      <c r="K65" s="119">
        <f t="shared" ca="1" si="0"/>
        <v>380.30612244897964</v>
      </c>
      <c r="L65" s="119">
        <f t="shared" ca="1" si="1"/>
        <v>214.87627059513807</v>
      </c>
      <c r="M65" s="119">
        <f t="shared" ca="1" si="2"/>
        <v>213.43898573692553</v>
      </c>
      <c r="N65" s="119">
        <f t="shared" ca="1" si="3"/>
        <v>291.35381114903299</v>
      </c>
      <c r="O65" s="119">
        <f t="shared" ca="1" si="4"/>
        <v>175.30562347188263</v>
      </c>
      <c r="P65" s="119">
        <f t="shared" ca="1" si="5"/>
        <v>267.85365853658533</v>
      </c>
      <c r="Q65" s="119">
        <f t="shared" ca="1" si="6"/>
        <v>233.56521739130437</v>
      </c>
    </row>
    <row r="66" spans="1:17" ht="16.05" customHeight="1">
      <c r="A66" vm="472">
        <f ca="1"/>
        <v>45047</v>
      </c>
      <c r="B66" s="64" vm="473">
        <f ca="1"/>
        <v>47.87</v>
      </c>
      <c r="C66" s="64" vm="474">
        <f ca="1"/>
        <v>102.9348</v>
      </c>
      <c r="D66" s="64" vm="475">
        <f ca="1"/>
        <v>63.63</v>
      </c>
      <c r="E66" s="64" vm="476">
        <f ca="1"/>
        <v>57.664999999999999</v>
      </c>
      <c r="F66" s="64" vm="477">
        <f ca="1"/>
        <v>29.21</v>
      </c>
      <c r="G66" s="64" vm="478">
        <f ca="1"/>
        <v>106.84</v>
      </c>
      <c r="H66" s="64" vm="479">
        <f ca="1"/>
        <v>66.08</v>
      </c>
      <c r="J66" vm="472">
        <v>45047</v>
      </c>
      <c r="K66" s="119">
        <f t="shared" ca="1" si="0"/>
        <v>488.46938775510199</v>
      </c>
      <c r="L66" s="119">
        <f t="shared" ca="1" si="1"/>
        <v>204.03815353387989</v>
      </c>
      <c r="M66" s="119">
        <f t="shared" ca="1" si="2"/>
        <v>201.6798732171157</v>
      </c>
      <c r="N66" s="119">
        <f t="shared" ca="1" si="3"/>
        <v>262.41183162684871</v>
      </c>
      <c r="O66" s="119">
        <f t="shared" ca="1" si="4"/>
        <v>178.54523227383862</v>
      </c>
      <c r="P66" s="119">
        <f t="shared" ca="1" si="5"/>
        <v>260.58536585365852</v>
      </c>
      <c r="Q66" s="119">
        <f t="shared" ca="1" si="6"/>
        <v>229.84347826086955</v>
      </c>
    </row>
    <row r="67" spans="1:17" ht="16.05" customHeight="1">
      <c r="A67" vm="480">
        <f ca="1"/>
        <v>45078</v>
      </c>
      <c r="B67" s="64" vm="481">
        <f ca="1"/>
        <v>56.8</v>
      </c>
      <c r="C67" s="64" vm="482">
        <f ca="1"/>
        <v>120.4141</v>
      </c>
      <c r="D67" s="64" vm="483">
        <f ca="1"/>
        <v>76.62</v>
      </c>
      <c r="E67" s="64" vm="484">
        <f ca="1"/>
        <v>71.135000000000005</v>
      </c>
      <c r="F67" s="64" vm="485">
        <f ca="1"/>
        <v>32.86</v>
      </c>
      <c r="G67" s="64" vm="486">
        <f ca="1"/>
        <v>121.69</v>
      </c>
      <c r="H67" s="64" vm="487">
        <f ca="1"/>
        <v>77.680000000000007</v>
      </c>
      <c r="J67" vm="480">
        <v>45078</v>
      </c>
      <c r="K67" s="119">
        <f t="shared" ca="1" si="0"/>
        <v>579.59183673469386</v>
      </c>
      <c r="L67" s="119">
        <f t="shared" ca="1" si="1"/>
        <v>238.68575664832466</v>
      </c>
      <c r="M67" s="119">
        <f t="shared" ca="1" si="2"/>
        <v>242.85261489698894</v>
      </c>
      <c r="N67" s="119">
        <f t="shared" ca="1" si="3"/>
        <v>323.70875995449376</v>
      </c>
      <c r="O67" s="119">
        <f t="shared" ca="1" si="4"/>
        <v>200.85574572127138</v>
      </c>
      <c r="P67" s="119">
        <f t="shared" ca="1" si="5"/>
        <v>296.80487804878049</v>
      </c>
      <c r="Q67" s="119">
        <f t="shared" ca="1" si="6"/>
        <v>270.19130434782608</v>
      </c>
    </row>
    <row r="68" spans="1:17" ht="16.05" customHeight="1">
      <c r="A68" vm="488">
        <f ca="1"/>
        <v>45108</v>
      </c>
      <c r="B68" s="64" vm="489">
        <f ca="1"/>
        <v>56.52</v>
      </c>
      <c r="C68" s="64" vm="490">
        <f ca="1"/>
        <v>121.87479999999999</v>
      </c>
      <c r="D68" s="64" vm="491">
        <f ca="1"/>
        <v>77.22</v>
      </c>
      <c r="E68" s="64" vm="492">
        <f ca="1"/>
        <v>74.474999999999994</v>
      </c>
      <c r="F68" s="64" vm="493">
        <f ca="1"/>
        <v>31.88</v>
      </c>
      <c r="G68" s="64" vm="494">
        <f ca="1"/>
        <v>127.02</v>
      </c>
      <c r="H68" s="64" vm="495">
        <f ca="1"/>
        <v>84.39</v>
      </c>
      <c r="J68" vm="488">
        <v>45108</v>
      </c>
      <c r="K68" s="119">
        <f t="shared" ca="1" si="0"/>
        <v>576.73469387755108</v>
      </c>
      <c r="L68" s="119">
        <f t="shared" ca="1" si="1"/>
        <v>241.58116744104913</v>
      </c>
      <c r="M68" s="119">
        <f t="shared" ca="1" si="2"/>
        <v>244.75435816164818</v>
      </c>
      <c r="N68" s="119">
        <f t="shared" ca="1" si="3"/>
        <v>338.90784982935151</v>
      </c>
      <c r="O68" s="119">
        <f t="shared" ca="1" si="4"/>
        <v>194.86552567237163</v>
      </c>
      <c r="P68" s="119">
        <f t="shared" ca="1" si="5"/>
        <v>309.80487804878049</v>
      </c>
      <c r="Q68" s="119">
        <f t="shared" ca="1" si="6"/>
        <v>293.53043478260867</v>
      </c>
    </row>
    <row r="69" spans="1:17" ht="16.05" customHeight="1">
      <c r="A69" vm="496">
        <f ca="1"/>
        <v>45139</v>
      </c>
      <c r="B69" s="64" vm="497">
        <f ca="1"/>
        <v>49.46</v>
      </c>
      <c r="C69" s="64" vm="498">
        <f ca="1"/>
        <v>114.4372</v>
      </c>
      <c r="D69" s="64" vm="499">
        <f ca="1"/>
        <v>74.25</v>
      </c>
      <c r="E69" s="64" vm="500">
        <f ca="1"/>
        <v>69.52</v>
      </c>
      <c r="F69" s="64" vm="501">
        <f ca="1"/>
        <v>31.1</v>
      </c>
      <c r="G69" s="64" vm="502">
        <f ca="1"/>
        <v>119.02</v>
      </c>
      <c r="H69" s="64" vm="503">
        <f ca="1"/>
        <v>82.06</v>
      </c>
      <c r="J69" vm="496">
        <v>45139</v>
      </c>
      <c r="K69" s="119">
        <f t="shared" ca="1" si="0"/>
        <v>504.69387755102042</v>
      </c>
      <c r="L69" s="119">
        <f t="shared" ca="1" si="1"/>
        <v>226.83829942436691</v>
      </c>
      <c r="M69" s="119">
        <f t="shared" ca="1" si="2"/>
        <v>235.3407290015848</v>
      </c>
      <c r="N69" s="119">
        <f t="shared" ca="1" si="3"/>
        <v>316.35949943117174</v>
      </c>
      <c r="O69" s="119">
        <f t="shared" ca="1" si="4"/>
        <v>190.09779951100245</v>
      </c>
      <c r="P69" s="119">
        <f t="shared" ca="1" si="5"/>
        <v>290.29268292682923</v>
      </c>
      <c r="Q69" s="119">
        <f t="shared" ca="1" si="6"/>
        <v>285.42608695652171</v>
      </c>
    </row>
    <row r="70" spans="1:17" ht="16.05" customHeight="1">
      <c r="A70" vm="504">
        <f ca="1"/>
        <v>45170</v>
      </c>
      <c r="B70" s="64" vm="505">
        <f ca="1"/>
        <v>41.51</v>
      </c>
      <c r="C70" s="64" vm="506">
        <f ca="1"/>
        <v>107.84520000000001</v>
      </c>
      <c r="D70" s="64" vm="507">
        <f ca="1"/>
        <v>66.78</v>
      </c>
      <c r="E70" s="64" vm="508">
        <f ca="1"/>
        <v>61.195</v>
      </c>
      <c r="F70" s="64" vm="154">
        <f ca="1"/>
        <v>27.35</v>
      </c>
      <c r="G70" s="64" vm="509">
        <f ca="1"/>
        <v>107.47</v>
      </c>
      <c r="H70" s="64" vm="510">
        <f ca="1"/>
        <v>74.05</v>
      </c>
      <c r="J70" vm="504">
        <v>45170</v>
      </c>
      <c r="K70" s="119">
        <f t="shared" ca="1" si="0"/>
        <v>423.57142857142856</v>
      </c>
      <c r="L70" s="119">
        <f t="shared" ca="1" si="1"/>
        <v>213.77158624189281</v>
      </c>
      <c r="M70" s="119">
        <f t="shared" ca="1" si="2"/>
        <v>211.66402535657687</v>
      </c>
      <c r="N70" s="119">
        <f t="shared" ca="1" si="3"/>
        <v>278.47554038680317</v>
      </c>
      <c r="O70" s="119">
        <f t="shared" ca="1" si="4"/>
        <v>167.17603911980441</v>
      </c>
      <c r="P70" s="119">
        <f t="shared" ca="1" si="5"/>
        <v>262.1219512195122</v>
      </c>
      <c r="Q70" s="119">
        <f t="shared" ca="1" si="6"/>
        <v>257.56521739130432</v>
      </c>
    </row>
    <row r="71" spans="1:17" ht="16.05" customHeight="1">
      <c r="A71" vm="511">
        <f ca="1"/>
        <v>45200</v>
      </c>
      <c r="B71" s="64" vm="512">
        <f ca="1"/>
        <v>38.700000000000003</v>
      </c>
      <c r="C71" s="64" vm="513">
        <f ca="1"/>
        <v>102.512</v>
      </c>
      <c r="D71" s="64" vm="514">
        <f ca="1"/>
        <v>61.5</v>
      </c>
      <c r="E71" s="64" vm="515">
        <f ca="1"/>
        <v>57.01</v>
      </c>
      <c r="F71" s="64" vm="516">
        <f ca="1"/>
        <v>25.06</v>
      </c>
      <c r="G71" s="64" vm="517">
        <f ca="1"/>
        <v>104.4</v>
      </c>
      <c r="H71" s="64" vm="518">
        <f ca="1"/>
        <v>73.59</v>
      </c>
      <c r="J71" vm="511">
        <v>45200</v>
      </c>
      <c r="K71" s="119">
        <f t="shared" ca="1" si="0"/>
        <v>394.89795918367349</v>
      </c>
      <c r="L71" s="119">
        <f t="shared" ca="1" si="1"/>
        <v>203.20007611677585</v>
      </c>
      <c r="M71" s="119">
        <f t="shared" ca="1" si="2"/>
        <v>194.92868462757528</v>
      </c>
      <c r="N71" s="119">
        <f t="shared" ca="1" si="3"/>
        <v>259.43117178612056</v>
      </c>
      <c r="O71" s="119">
        <f t="shared" ca="1" si="4"/>
        <v>153.17848410757946</v>
      </c>
      <c r="P71" s="119">
        <f t="shared" ca="1" si="5"/>
        <v>254.63414634146343</v>
      </c>
      <c r="Q71" s="119">
        <f t="shared" ca="1" si="6"/>
        <v>255.96521739130435</v>
      </c>
    </row>
    <row r="72" spans="1:17" ht="16.05" customHeight="1">
      <c r="A72" vm="519">
        <f ca="1"/>
        <v>45231</v>
      </c>
      <c r="B72" s="64" vm="520">
        <f ca="1"/>
        <v>47.45</v>
      </c>
      <c r="C72" s="64" vm="521">
        <f ca="1"/>
        <v>122.9222</v>
      </c>
      <c r="D72" s="64" vm="522">
        <f ca="1"/>
        <v>72.14</v>
      </c>
      <c r="E72" s="64" vm="523">
        <f ca="1"/>
        <v>70.650000000000006</v>
      </c>
      <c r="F72" s="64" vm="524">
        <f ca="1"/>
        <v>29.18</v>
      </c>
      <c r="G72" s="64" vm="525">
        <f ca="1"/>
        <v>127.67</v>
      </c>
      <c r="H72" s="64" vm="526">
        <f ca="1"/>
        <v>88.42</v>
      </c>
      <c r="J72" vm="519">
        <v>45231</v>
      </c>
      <c r="K72" s="119">
        <f t="shared" ca="1" si="0"/>
        <v>484.18367346938777</v>
      </c>
      <c r="L72" s="119">
        <f t="shared" ca="1" si="1"/>
        <v>243.65733178985428</v>
      </c>
      <c r="M72" s="119">
        <f t="shared" ca="1" si="2"/>
        <v>228.65293185419969</v>
      </c>
      <c r="N72" s="119">
        <f t="shared" ca="1" si="3"/>
        <v>321.50170648464166</v>
      </c>
      <c r="O72" s="119">
        <f t="shared" ca="1" si="4"/>
        <v>178.36185819070906</v>
      </c>
      <c r="P72" s="119">
        <f t="shared" ca="1" si="5"/>
        <v>311.39024390243901</v>
      </c>
      <c r="Q72" s="119">
        <f t="shared" ca="1" si="6"/>
        <v>307.54782608695655</v>
      </c>
    </row>
    <row r="73" spans="1:17" ht="16.05" customHeight="1">
      <c r="A73" vm="527">
        <f ca="1"/>
        <v>45261</v>
      </c>
      <c r="B73" s="64" vm="528">
        <f ca="1"/>
        <v>51.94</v>
      </c>
      <c r="C73" s="64" vm="529">
        <f ca="1"/>
        <v>143.21700000000001</v>
      </c>
      <c r="D73" s="64" vm="530">
        <f ca="1"/>
        <v>91.14</v>
      </c>
      <c r="E73" s="64" vm="531">
        <f ca="1"/>
        <v>87.1</v>
      </c>
      <c r="F73" s="64" vm="532">
        <f ca="1"/>
        <v>35.4</v>
      </c>
      <c r="G73" s="64" vm="533">
        <f ca="1"/>
        <v>151.97999999999999</v>
      </c>
      <c r="H73" s="64" vm="534">
        <f ca="1"/>
        <v>103.22</v>
      </c>
      <c r="J73" vm="527">
        <v>45261</v>
      </c>
      <c r="K73" s="119">
        <f t="shared" ref="K73:K98" ca="1" si="7">B73*(100/$B$7)</f>
        <v>530</v>
      </c>
      <c r="L73" s="119">
        <f t="shared" ref="L73:L98" ca="1" si="8">C73*(100/$C$7)</f>
        <v>283.8858406939313</v>
      </c>
      <c r="M73" s="119">
        <f t="shared" ref="M73:M98" ca="1" si="9">D73*(100/$D$7)</f>
        <v>288.8748019017433</v>
      </c>
      <c r="N73" s="119">
        <f t="shared" ref="N73:N98" ca="1" si="10">E73*(100/$E$7)</f>
        <v>396.35949943117174</v>
      </c>
      <c r="O73" s="119">
        <f t="shared" ref="O73:O98" ca="1" si="11">F73*(100/$F$7)</f>
        <v>216.38141809290951</v>
      </c>
      <c r="P73" s="119">
        <f t="shared" ref="P73:P98" ca="1" si="12">G73*(100/$G$7)</f>
        <v>370.68292682926824</v>
      </c>
      <c r="Q73" s="119">
        <f t="shared" ref="Q73:Q98" ca="1" si="13">H73*(100/$H$7)</f>
        <v>359.02608695652174</v>
      </c>
    </row>
    <row r="74" spans="1:17" ht="16.05" customHeight="1">
      <c r="A74" vm="535">
        <f ca="1"/>
        <v>45292</v>
      </c>
      <c r="B74" s="64" vm="536">
        <f ca="1"/>
        <v>52.17</v>
      </c>
      <c r="C74" s="64" vm="537">
        <f ca="1"/>
        <v>143.99539999999999</v>
      </c>
      <c r="D74" s="64" vm="538">
        <f ca="1"/>
        <v>86.7</v>
      </c>
      <c r="E74" s="64" vm="539">
        <f ca="1"/>
        <v>82.805000000000007</v>
      </c>
      <c r="F74" s="64" vm="540">
        <f ca="1"/>
        <v>34.53</v>
      </c>
      <c r="G74" s="64" vm="541">
        <f ca="1"/>
        <v>142.91</v>
      </c>
      <c r="H74" s="64" vm="542">
        <f ca="1"/>
        <v>104.56</v>
      </c>
      <c r="J74" vm="535">
        <v>45292</v>
      </c>
      <c r="K74" s="119">
        <f t="shared" ca="1" si="7"/>
        <v>532.34693877551024</v>
      </c>
      <c r="L74" s="119">
        <f t="shared" ca="1" si="8"/>
        <v>285.42879117045402</v>
      </c>
      <c r="M74" s="119">
        <f t="shared" ca="1" si="9"/>
        <v>274.80190174326469</v>
      </c>
      <c r="N74" s="119">
        <f t="shared" ca="1" si="10"/>
        <v>376.81456200227535</v>
      </c>
      <c r="O74" s="119">
        <f t="shared" ca="1" si="11"/>
        <v>211.06356968215158</v>
      </c>
      <c r="P74" s="119">
        <f t="shared" ca="1" si="12"/>
        <v>348.5609756097561</v>
      </c>
      <c r="Q74" s="119">
        <f t="shared" ca="1" si="13"/>
        <v>363.68695652173915</v>
      </c>
    </row>
    <row r="75" spans="1:17" ht="16.05" customHeight="1">
      <c r="A75" vm="543">
        <f ca="1"/>
        <v>45323</v>
      </c>
      <c r="B75" s="64" vm="544">
        <f ca="1"/>
        <v>58.5</v>
      </c>
      <c r="C75" s="64" vm="545">
        <f ca="1"/>
        <v>152.31700000000001</v>
      </c>
      <c r="D75" s="64" vm="546">
        <f ca="1"/>
        <v>86.29</v>
      </c>
      <c r="E75" s="64" vm="547">
        <f ca="1"/>
        <v>78.83</v>
      </c>
      <c r="F75" s="64" vm="548">
        <f ca="1"/>
        <v>35.380000000000003</v>
      </c>
      <c r="G75" s="64" vm="549">
        <f ca="1"/>
        <v>149.44</v>
      </c>
      <c r="H75" s="64" vm="550">
        <f ca="1"/>
        <v>108.38</v>
      </c>
      <c r="J75" vm="543">
        <v>45323</v>
      </c>
      <c r="K75" s="119">
        <f t="shared" ca="1" si="7"/>
        <v>596.9387755102041</v>
      </c>
      <c r="L75" s="119">
        <f t="shared" ca="1" si="8"/>
        <v>301.9239307971647</v>
      </c>
      <c r="M75" s="119">
        <f t="shared" ca="1" si="9"/>
        <v>273.50237717908084</v>
      </c>
      <c r="N75" s="119">
        <f t="shared" ca="1" si="10"/>
        <v>358.72582480091012</v>
      </c>
      <c r="O75" s="119">
        <f t="shared" ca="1" si="11"/>
        <v>216.25916870415648</v>
      </c>
      <c r="P75" s="119">
        <f t="shared" ca="1" si="12"/>
        <v>364.48780487804879</v>
      </c>
      <c r="Q75" s="119">
        <f t="shared" ca="1" si="13"/>
        <v>376.97391304347826</v>
      </c>
    </row>
    <row r="76" spans="1:17" ht="16.05" customHeight="1">
      <c r="A76" vm="551">
        <f ca="1"/>
        <v>45352</v>
      </c>
      <c r="B76" s="64" vm="552">
        <f ca="1"/>
        <v>60.23</v>
      </c>
      <c r="C76" s="64" vm="553">
        <f ca="1"/>
        <v>165.26070000000001</v>
      </c>
      <c r="D76" s="64" vm="554">
        <f ca="1"/>
        <v>96.5</v>
      </c>
      <c r="E76" s="64" vm="555">
        <f ca="1"/>
        <v>87.73</v>
      </c>
      <c r="F76" s="64" vm="556">
        <f ca="1"/>
        <v>38.659999999999997</v>
      </c>
      <c r="G76" s="64" vm="557">
        <f ca="1"/>
        <v>164.55</v>
      </c>
      <c r="H76" s="64" vm="558">
        <f ca="1"/>
        <v>120.62</v>
      </c>
      <c r="J76" vm="551">
        <v>45352</v>
      </c>
      <c r="K76" s="119">
        <f t="shared" ca="1" si="7"/>
        <v>614.59183673469386</v>
      </c>
      <c r="L76" s="119">
        <f t="shared" ca="1" si="8"/>
        <v>327.58103265092535</v>
      </c>
      <c r="M76" s="119">
        <f t="shared" ca="1" si="9"/>
        <v>305.86370839936609</v>
      </c>
      <c r="N76" s="119">
        <f t="shared" ca="1" si="10"/>
        <v>399.226393629124</v>
      </c>
      <c r="O76" s="119">
        <f t="shared" ca="1" si="11"/>
        <v>236.30806845965768</v>
      </c>
      <c r="P76" s="119">
        <f t="shared" ca="1" si="12"/>
        <v>401.34146341463418</v>
      </c>
      <c r="Q76" s="119">
        <f t="shared" ca="1" si="13"/>
        <v>419.54782608695655</v>
      </c>
    </row>
    <row r="77" spans="1:17" ht="16.05" customHeight="1">
      <c r="A77" vm="559">
        <f ca="1"/>
        <v>45383</v>
      </c>
      <c r="B77" s="64" vm="560">
        <f ca="1"/>
        <v>54.13</v>
      </c>
      <c r="C77" s="64" vm="561">
        <f ca="1"/>
        <v>145.6962</v>
      </c>
      <c r="D77" s="64" vm="562">
        <f ca="1"/>
        <v>79.319999999999993</v>
      </c>
      <c r="E77" s="64" vm="563">
        <f ca="1"/>
        <v>82.87</v>
      </c>
      <c r="F77" s="64" vm="564">
        <f ca="1"/>
        <v>36.85</v>
      </c>
      <c r="G77" s="64" vm="565">
        <f ca="1"/>
        <v>142.49</v>
      </c>
      <c r="H77" s="64" vm="566">
        <f ca="1"/>
        <v>111.42</v>
      </c>
      <c r="J77" vm="559">
        <v>45383</v>
      </c>
      <c r="K77" s="119">
        <f t="shared" ca="1" si="7"/>
        <v>552.34693877551024</v>
      </c>
      <c r="L77" s="119">
        <f t="shared" ca="1" si="8"/>
        <v>288.80013003282539</v>
      </c>
      <c r="M77" s="119">
        <f t="shared" ca="1" si="9"/>
        <v>251.41045958795561</v>
      </c>
      <c r="N77" s="119">
        <f t="shared" ca="1" si="10"/>
        <v>377.11035267349263</v>
      </c>
      <c r="O77" s="119">
        <f t="shared" ca="1" si="11"/>
        <v>225.24449877750612</v>
      </c>
      <c r="P77" s="119">
        <f t="shared" ca="1" si="12"/>
        <v>347.53658536585368</v>
      </c>
      <c r="Q77" s="119">
        <f t="shared" ca="1" si="13"/>
        <v>387.54782608695649</v>
      </c>
    </row>
    <row r="78" spans="1:17" ht="16.05" customHeight="1">
      <c r="A78" vm="567">
        <f ca="1"/>
        <v>45413</v>
      </c>
      <c r="B78" s="64" vm="568">
        <f ca="1"/>
        <v>54.6</v>
      </c>
      <c r="C78" s="64" vm="569">
        <f ca="1"/>
        <v>154.08510000000001</v>
      </c>
      <c r="D78" s="64" vm="570">
        <f ca="1"/>
        <v>84.41</v>
      </c>
      <c r="E78" s="64" vm="571">
        <f ca="1"/>
        <v>88.174999999999997</v>
      </c>
      <c r="F78" s="64" vm="572">
        <f ca="1"/>
        <v>38.729999999999997</v>
      </c>
      <c r="G78" s="64" vm="573">
        <f ca="1"/>
        <v>147.80000000000001</v>
      </c>
      <c r="H78" s="64" vm="574">
        <f ca="1"/>
        <v>117.32</v>
      </c>
      <c r="J78" vm="567">
        <v>45413</v>
      </c>
      <c r="K78" s="119">
        <f t="shared" ca="1" si="7"/>
        <v>557.14285714285711</v>
      </c>
      <c r="L78" s="119">
        <f t="shared" ca="1" si="8"/>
        <v>305.4286722379918</v>
      </c>
      <c r="M78" s="119">
        <f t="shared" ca="1" si="9"/>
        <v>267.54358161648179</v>
      </c>
      <c r="N78" s="119">
        <f t="shared" ca="1" si="10"/>
        <v>401.25142207053466</v>
      </c>
      <c r="O78" s="119">
        <f t="shared" ca="1" si="11"/>
        <v>236.73594132029336</v>
      </c>
      <c r="P78" s="119">
        <f t="shared" ca="1" si="12"/>
        <v>360.48780487804879</v>
      </c>
      <c r="Q78" s="119">
        <f t="shared" ca="1" si="13"/>
        <v>408.06956521739124</v>
      </c>
    </row>
    <row r="79" spans="1:17" ht="16.05" customHeight="1">
      <c r="A79" vm="575">
        <f ca="1"/>
        <v>45444</v>
      </c>
      <c r="B79" s="64" vm="576">
        <f ca="1"/>
        <v>57.24</v>
      </c>
      <c r="C79" s="64" vm="577">
        <f ca="1"/>
        <v>144.0146</v>
      </c>
      <c r="D79" s="64" vm="578">
        <f ca="1"/>
        <v>81.66</v>
      </c>
      <c r="E79" s="64" vm="579">
        <f ca="1"/>
        <v>80.924999999999997</v>
      </c>
      <c r="F79" s="64" vm="580">
        <f ca="1"/>
        <v>37.25</v>
      </c>
      <c r="G79" s="64" vm="581">
        <f ca="1"/>
        <v>140.93</v>
      </c>
      <c r="H79" s="64" vm="582">
        <f ca="1"/>
        <v>110.1</v>
      </c>
      <c r="J79" vm="575">
        <v>45444</v>
      </c>
      <c r="K79" s="119">
        <f t="shared" ca="1" si="7"/>
        <v>584.08163265306121</v>
      </c>
      <c r="L79" s="119">
        <f t="shared" ca="1" si="8"/>
        <v>285.46684955836412</v>
      </c>
      <c r="M79" s="119">
        <f t="shared" ca="1" si="9"/>
        <v>258.82725832012676</v>
      </c>
      <c r="N79" s="119">
        <f t="shared" ca="1" si="10"/>
        <v>368.25938566552901</v>
      </c>
      <c r="O79" s="119">
        <f t="shared" ca="1" si="11"/>
        <v>227.68948655256725</v>
      </c>
      <c r="P79" s="119">
        <f t="shared" ca="1" si="12"/>
        <v>343.73170731707319</v>
      </c>
      <c r="Q79" s="119">
        <f t="shared" ca="1" si="13"/>
        <v>382.95652173913038</v>
      </c>
    </row>
    <row r="80" spans="1:17" ht="16.05" customHeight="1">
      <c r="A80" vm="583">
        <f ca="1"/>
        <v>45474</v>
      </c>
      <c r="B80" s="64" vm="584">
        <f ca="1"/>
        <v>73.150000000000006</v>
      </c>
      <c r="C80" s="64" vm="585">
        <f ca="1"/>
        <v>170.01730000000001</v>
      </c>
      <c r="D80" s="64" vm="586">
        <f ca="1"/>
        <v>104.71</v>
      </c>
      <c r="E80" s="64" vm="587">
        <f ca="1"/>
        <v>101.435</v>
      </c>
      <c r="F80" s="64" vm="588">
        <f ca="1"/>
        <v>45.25</v>
      </c>
      <c r="G80" s="64" vm="589">
        <f ca="1"/>
        <v>179.93</v>
      </c>
      <c r="H80" s="64" vm="590">
        <f ca="1"/>
        <v>132</v>
      </c>
      <c r="J80" vm="583">
        <v>45474</v>
      </c>
      <c r="K80" s="119">
        <f t="shared" ca="1" si="7"/>
        <v>746.42857142857144</v>
      </c>
      <c r="L80" s="119">
        <f t="shared" ca="1" si="8"/>
        <v>337.00960181411654</v>
      </c>
      <c r="M80" s="119">
        <f t="shared" ca="1" si="9"/>
        <v>331.88589540412045</v>
      </c>
      <c r="N80" s="119">
        <f t="shared" ca="1" si="10"/>
        <v>461.59271899886232</v>
      </c>
      <c r="O80" s="119">
        <f t="shared" ca="1" si="11"/>
        <v>276.58924205378975</v>
      </c>
      <c r="P80" s="119">
        <f t="shared" ca="1" si="12"/>
        <v>438.85365853658539</v>
      </c>
      <c r="Q80" s="119">
        <f t="shared" ca="1" si="13"/>
        <v>459.13043478260869</v>
      </c>
    </row>
    <row r="81" spans="1:17" ht="16.05" customHeight="1">
      <c r="A81" vm="591">
        <f ca="1"/>
        <v>45505</v>
      </c>
      <c r="B81" s="64" vm="592">
        <f ca="1"/>
        <v>78.78</v>
      </c>
      <c r="C81" s="64" vm="593">
        <f ca="1"/>
        <v>174.9469</v>
      </c>
      <c r="D81" s="64" vm="594">
        <f ca="1"/>
        <v>100.07</v>
      </c>
      <c r="E81" s="64" vm="595">
        <f ca="1"/>
        <v>99.034999999999997</v>
      </c>
      <c r="F81" s="64" vm="596">
        <f ca="1"/>
        <v>44.44</v>
      </c>
      <c r="G81" s="64" vm="597">
        <f ca="1"/>
        <v>188.76</v>
      </c>
      <c r="H81" s="64" vm="598">
        <f ca="1"/>
        <v>131.65</v>
      </c>
      <c r="J81" vm="591">
        <v>45505</v>
      </c>
      <c r="K81" s="119">
        <f t="shared" ca="1" si="7"/>
        <v>803.87755102040819</v>
      </c>
      <c r="L81" s="119">
        <f t="shared" ca="1" si="8"/>
        <v>346.78109291003949</v>
      </c>
      <c r="M81" s="119">
        <f t="shared" ca="1" si="9"/>
        <v>317.17908082408871</v>
      </c>
      <c r="N81" s="119">
        <f t="shared" ca="1" si="10"/>
        <v>450.67121729237766</v>
      </c>
      <c r="O81" s="119">
        <f t="shared" ca="1" si="11"/>
        <v>271.63814180929091</v>
      </c>
      <c r="P81" s="119">
        <f t="shared" ca="1" si="12"/>
        <v>460.39024390243901</v>
      </c>
      <c r="Q81" s="119">
        <f t="shared" ca="1" si="13"/>
        <v>457.91304347826087</v>
      </c>
    </row>
    <row r="82" spans="1:17" ht="16.05" customHeight="1">
      <c r="A82" vm="599">
        <f ca="1"/>
        <v>45536</v>
      </c>
      <c r="B82" s="64" vm="600">
        <f ca="1"/>
        <v>83.52</v>
      </c>
      <c r="C82" s="64" vm="601">
        <f ca="1"/>
        <v>180.15520000000001</v>
      </c>
      <c r="D82" s="64" vm="602">
        <f ca="1"/>
        <v>102.98</v>
      </c>
      <c r="E82" s="64" vm="603">
        <f ca="1"/>
        <v>102.535</v>
      </c>
      <c r="F82" s="64" vm="604">
        <f ca="1"/>
        <v>45.31</v>
      </c>
      <c r="G82" s="64" vm="605">
        <f ca="1"/>
        <v>190.77</v>
      </c>
      <c r="H82" s="64" vm="606">
        <f ca="1"/>
        <v>143.53</v>
      </c>
      <c r="J82" vm="599">
        <v>45536</v>
      </c>
      <c r="K82" s="119">
        <f t="shared" ca="1" si="7"/>
        <v>852.24489795918362</v>
      </c>
      <c r="L82" s="119">
        <f t="shared" ca="1" si="8"/>
        <v>357.10502529297031</v>
      </c>
      <c r="M82" s="119">
        <f t="shared" ca="1" si="9"/>
        <v>326.40253565768626</v>
      </c>
      <c r="N82" s="119">
        <f t="shared" ca="1" si="10"/>
        <v>466.59840728100113</v>
      </c>
      <c r="O82" s="119">
        <f t="shared" ca="1" si="11"/>
        <v>276.95599022004893</v>
      </c>
      <c r="P82" s="119">
        <f t="shared" ca="1" si="12"/>
        <v>465.29268292682929</v>
      </c>
      <c r="Q82" s="119">
        <f t="shared" ca="1" si="13"/>
        <v>499.23478260869564</v>
      </c>
    </row>
    <row r="83" spans="1:17" ht="16.05" customHeight="1">
      <c r="A83" vm="607">
        <f ca="1"/>
        <v>45566</v>
      </c>
      <c r="B83" s="64" vm="608">
        <f ca="1"/>
        <v>69.010000000000005</v>
      </c>
      <c r="C83" s="64" vm="609">
        <f ca="1"/>
        <v>163.6464</v>
      </c>
      <c r="D83" s="64" vm="610">
        <f ca="1"/>
        <v>88.66</v>
      </c>
      <c r="E83" s="64" vm="611">
        <f ca="1"/>
        <v>90.6</v>
      </c>
      <c r="F83" s="64" vm="612">
        <f ca="1"/>
        <v>40.43</v>
      </c>
      <c r="G83" s="64" vm="613">
        <f ca="1"/>
        <v>169</v>
      </c>
      <c r="H83" s="64" vm="614">
        <f ca="1"/>
        <v>129.53</v>
      </c>
      <c r="J83" vm="607">
        <v>45566</v>
      </c>
      <c r="K83" s="119">
        <f t="shared" ca="1" si="7"/>
        <v>704.18367346938783</v>
      </c>
      <c r="L83" s="119">
        <f t="shared" ca="1" si="8"/>
        <v>324.38115475491986</v>
      </c>
      <c r="M83" s="119">
        <f t="shared" ca="1" si="9"/>
        <v>281.01426307448492</v>
      </c>
      <c r="N83" s="119">
        <f t="shared" ca="1" si="10"/>
        <v>412.28668941979521</v>
      </c>
      <c r="O83" s="119">
        <f t="shared" ca="1" si="11"/>
        <v>247.12713936430316</v>
      </c>
      <c r="P83" s="119">
        <f t="shared" ca="1" si="12"/>
        <v>412.19512195121951</v>
      </c>
      <c r="Q83" s="119">
        <f t="shared" ca="1" si="13"/>
        <v>450.53913043478258</v>
      </c>
    </row>
    <row r="84" spans="1:17" ht="16.05" customHeight="1">
      <c r="A84" vm="615">
        <f ca="1"/>
        <v>45597</v>
      </c>
      <c r="B84" s="64" vm="616">
        <f ca="1"/>
        <v>71.459999999999994</v>
      </c>
      <c r="C84" s="64" vm="617">
        <f ca="1"/>
        <v>167.57660000000001</v>
      </c>
      <c r="D84" s="64" vm="618">
        <f ca="1"/>
        <v>90.36</v>
      </c>
      <c r="E84" s="64" vm="619">
        <f ca="1"/>
        <v>95.534999999999997</v>
      </c>
      <c r="F84" s="64" vm="620">
        <f ca="1"/>
        <v>43.53</v>
      </c>
      <c r="G84" s="64" vm="621">
        <f ca="1"/>
        <v>168.78</v>
      </c>
      <c r="H84" s="64" vm="622">
        <f ca="1"/>
        <v>135.27000000000001</v>
      </c>
      <c r="J84" vm="615">
        <v>45597</v>
      </c>
      <c r="K84" s="119">
        <f t="shared" ca="1" si="7"/>
        <v>729.18367346938771</v>
      </c>
      <c r="L84" s="119">
        <f t="shared" ca="1" si="8"/>
        <v>332.17162747181305</v>
      </c>
      <c r="M84" s="119">
        <f t="shared" ca="1" si="9"/>
        <v>286.4025356576862</v>
      </c>
      <c r="N84" s="119">
        <f t="shared" ca="1" si="10"/>
        <v>434.74402730375425</v>
      </c>
      <c r="O84" s="119">
        <f t="shared" ca="1" si="11"/>
        <v>266.07579462102689</v>
      </c>
      <c r="P84" s="119">
        <f t="shared" ca="1" si="12"/>
        <v>411.65853658536582</v>
      </c>
      <c r="Q84" s="119">
        <f t="shared" ca="1" si="13"/>
        <v>470.50434782608698</v>
      </c>
    </row>
    <row r="85" spans="1:17" ht="16.05" customHeight="1">
      <c r="A85" vm="623">
        <f ca="1"/>
        <v>45627</v>
      </c>
      <c r="B85" s="64" vm="624">
        <f ca="1"/>
        <v>56.49</v>
      </c>
      <c r="C85" s="64" vm="625">
        <f ca="1"/>
        <v>131.042</v>
      </c>
      <c r="D85" s="64" vm="626">
        <f ca="1"/>
        <v>73.36</v>
      </c>
      <c r="E85" s="64" vm="627">
        <f ca="1"/>
        <v>76.91</v>
      </c>
      <c r="F85" s="64" vm="628">
        <f ca="1"/>
        <v>36.26</v>
      </c>
      <c r="G85" s="64" vm="629">
        <f ca="1"/>
        <v>139.82</v>
      </c>
      <c r="H85" s="64" vm="630">
        <f ca="1"/>
        <v>108.9</v>
      </c>
      <c r="J85" vm="623">
        <v>45627</v>
      </c>
      <c r="K85" s="119">
        <f t="shared" ca="1" si="7"/>
        <v>576.42857142857144</v>
      </c>
      <c r="L85" s="119">
        <f t="shared" ca="1" si="8"/>
        <v>259.75246190196793</v>
      </c>
      <c r="M85" s="119">
        <f t="shared" ca="1" si="9"/>
        <v>232.51980982567355</v>
      </c>
      <c r="N85" s="119">
        <f t="shared" ca="1" si="10"/>
        <v>349.98862343572239</v>
      </c>
      <c r="O85" s="119">
        <f t="shared" ca="1" si="11"/>
        <v>221.63814180929094</v>
      </c>
      <c r="P85" s="119">
        <f t="shared" ca="1" si="12"/>
        <v>341.02439024390242</v>
      </c>
      <c r="Q85" s="119">
        <f t="shared" ca="1" si="13"/>
        <v>378.78260869565219</v>
      </c>
    </row>
    <row r="86" spans="1:17" ht="16.05" customHeight="1">
      <c r="A86" vm="631">
        <f ca="1"/>
        <v>45658</v>
      </c>
      <c r="B86" s="64" vm="632">
        <f ca="1"/>
        <v>60.47</v>
      </c>
      <c r="C86" s="64" vm="633">
        <f ca="1"/>
        <v>131.24</v>
      </c>
      <c r="D86" s="64" vm="634">
        <f ca="1"/>
        <v>76.38</v>
      </c>
      <c r="E86" s="64" vm="635">
        <f ca="1"/>
        <v>77.87</v>
      </c>
      <c r="F86" s="64" vm="636">
        <f ca="1"/>
        <v>36.86</v>
      </c>
      <c r="G86" s="64" vm="637">
        <f ca="1"/>
        <v>141.9</v>
      </c>
      <c r="H86" s="64" vm="638">
        <f ca="1"/>
        <v>113.78</v>
      </c>
      <c r="J86" vm="631">
        <v>45658</v>
      </c>
      <c r="K86" s="119">
        <f t="shared" ca="1" si="7"/>
        <v>617.0408163265306</v>
      </c>
      <c r="L86" s="119">
        <f t="shared" ca="1" si="8"/>
        <v>260.14493902729106</v>
      </c>
      <c r="M86" s="119">
        <f t="shared" ca="1" si="9"/>
        <v>242.0919175911252</v>
      </c>
      <c r="N86" s="119">
        <f t="shared" ca="1" si="10"/>
        <v>354.35722411831625</v>
      </c>
      <c r="O86" s="119">
        <f t="shared" ca="1" si="11"/>
        <v>225.30562347188263</v>
      </c>
      <c r="P86" s="119">
        <f t="shared" ca="1" si="12"/>
        <v>346.09756097560978</v>
      </c>
      <c r="Q86" s="119">
        <f t="shared" ca="1" si="13"/>
        <v>395.75652173913045</v>
      </c>
    </row>
    <row r="87" spans="1:17" ht="16.05" customHeight="1">
      <c r="A87" vm="639">
        <f ca="1"/>
        <v>45689</v>
      </c>
      <c r="B87" s="64" vm="640">
        <f ca="1"/>
        <v>59.73</v>
      </c>
      <c r="C87" s="64" vm="641">
        <f ca="1"/>
        <v>119.63</v>
      </c>
      <c r="D87" s="64" vm="642">
        <f ca="1"/>
        <v>69.430000000000007</v>
      </c>
      <c r="E87" s="64" vm="643">
        <f ca="1"/>
        <v>72.47</v>
      </c>
      <c r="F87" s="64" vm="644">
        <f ca="1"/>
        <v>31.66</v>
      </c>
      <c r="G87" s="64" vm="645">
        <f ca="1"/>
        <v>126.81</v>
      </c>
      <c r="H87" s="64" vm="646">
        <f ca="1"/>
        <v>103.28</v>
      </c>
      <c r="J87" vm="639">
        <v>45689</v>
      </c>
      <c r="K87" s="119">
        <f t="shared" ca="1" si="7"/>
        <v>609.48979591836735</v>
      </c>
      <c r="L87" s="119">
        <f t="shared" ca="1" si="8"/>
        <v>237.13150758789109</v>
      </c>
      <c r="M87" s="119">
        <f t="shared" ca="1" si="9"/>
        <v>220.06339144215534</v>
      </c>
      <c r="N87" s="119">
        <f t="shared" ca="1" si="10"/>
        <v>329.78384527872583</v>
      </c>
      <c r="O87" s="119">
        <f t="shared" ca="1" si="11"/>
        <v>193.52078239608801</v>
      </c>
      <c r="P87" s="119">
        <f t="shared" ca="1" si="12"/>
        <v>309.29268292682929</v>
      </c>
      <c r="Q87" s="119">
        <f t="shared" ca="1" si="13"/>
        <v>359.23478260869564</v>
      </c>
    </row>
    <row r="88" spans="1:17" ht="16.05" customHeight="1">
      <c r="A88" vm="647">
        <f ca="1"/>
        <v>45717</v>
      </c>
      <c r="B88" s="64" vm="648">
        <f ca="1"/>
        <v>58.31</v>
      </c>
      <c r="C88" s="64" vm="649">
        <f ca="1"/>
        <v>114.78</v>
      </c>
      <c r="D88" s="64" vm="650">
        <f ca="1"/>
        <v>67.099999999999994</v>
      </c>
      <c r="E88" s="64" vm="651">
        <f ca="1"/>
        <v>70.88</v>
      </c>
      <c r="F88" s="64" vm="652">
        <f ca="1"/>
        <v>31.92</v>
      </c>
      <c r="G88" s="64" vm="653">
        <f ca="1"/>
        <v>127.13</v>
      </c>
      <c r="H88" s="64" vm="654">
        <f ca="1"/>
        <v>102.8</v>
      </c>
      <c r="J88" vm="647">
        <v>45717</v>
      </c>
      <c r="K88" s="119">
        <f t="shared" ca="1" si="7"/>
        <v>595</v>
      </c>
      <c r="L88" s="119">
        <f t="shared" ca="1" si="8"/>
        <v>227.5178002251788</v>
      </c>
      <c r="M88" s="119">
        <f t="shared" ca="1" si="9"/>
        <v>212.67828843106179</v>
      </c>
      <c r="N88" s="119">
        <f t="shared" ca="1" si="10"/>
        <v>322.54835039817971</v>
      </c>
      <c r="O88" s="119">
        <f t="shared" ca="1" si="11"/>
        <v>195.11002444987776</v>
      </c>
      <c r="P88" s="119">
        <f t="shared" ca="1" si="12"/>
        <v>310.07317073170731</v>
      </c>
      <c r="Q88" s="119">
        <f t="shared" ca="1" si="13"/>
        <v>357.56521739130432</v>
      </c>
    </row>
    <row r="89" spans="1:17" ht="16.05" customHeight="1">
      <c r="A89" vm="655">
        <f ca="1"/>
        <v>45748</v>
      </c>
      <c r="B89" s="64" vm="656">
        <f ca="1"/>
        <v>58.99</v>
      </c>
      <c r="C89" s="64" vm="657">
        <f ca="1"/>
        <v>108.61</v>
      </c>
      <c r="D89" s="64" vm="658">
        <f ca="1"/>
        <v>54.54</v>
      </c>
      <c r="E89" s="64" vm="659">
        <f ca="1"/>
        <v>68.14</v>
      </c>
      <c r="F89" s="64" vm="660">
        <f ca="1"/>
        <v>30.75</v>
      </c>
      <c r="G89" s="64" vm="661">
        <f ca="1"/>
        <v>126.34</v>
      </c>
      <c r="H89" s="64" vm="662">
        <f ca="1"/>
        <v>102.58</v>
      </c>
      <c r="J89" vm="655">
        <v>45748</v>
      </c>
      <c r="K89" s="119">
        <f t="shared" ca="1" si="7"/>
        <v>601.9387755102041</v>
      </c>
      <c r="L89" s="119">
        <f t="shared" ca="1" si="8"/>
        <v>215.28757869364586</v>
      </c>
      <c r="M89" s="119">
        <f t="shared" ca="1" si="9"/>
        <v>172.86846275752774</v>
      </c>
      <c r="N89" s="119">
        <f t="shared" ca="1" si="10"/>
        <v>310.07963594994311</v>
      </c>
      <c r="O89" s="119">
        <f t="shared" ca="1" si="11"/>
        <v>187.95843520782395</v>
      </c>
      <c r="P89" s="119">
        <f t="shared" ca="1" si="12"/>
        <v>308.14634146341461</v>
      </c>
      <c r="Q89" s="119">
        <f t="shared" ca="1" si="13"/>
        <v>356.8</v>
      </c>
    </row>
    <row r="90" spans="1:17" ht="16.05" customHeight="1">
      <c r="A90" vm="663">
        <f ca="1"/>
        <v>45778</v>
      </c>
      <c r="B90" s="64" vm="664">
        <f ca="1"/>
        <v>58.45</v>
      </c>
      <c r="C90" s="64" vm="665">
        <f ca="1"/>
        <v>106.08</v>
      </c>
      <c r="D90" s="64" vm="666">
        <f ca="1"/>
        <v>51.87</v>
      </c>
      <c r="E90" s="64" vm="667">
        <f ca="1"/>
        <v>63.61</v>
      </c>
      <c r="F90" s="64" vm="668">
        <f ca="1"/>
        <v>29.48</v>
      </c>
      <c r="G90" s="64" vm="669">
        <f ca="1"/>
        <v>118.06</v>
      </c>
      <c r="H90" s="64" vm="670">
        <f ca="1"/>
        <v>98.03</v>
      </c>
      <c r="J90" vm="663">
        <v>45778</v>
      </c>
      <c r="K90" s="119">
        <f t="shared" ca="1" si="7"/>
        <v>596.42857142857144</v>
      </c>
      <c r="L90" s="119">
        <f t="shared" ca="1" si="8"/>
        <v>210.27259320340625</v>
      </c>
      <c r="M90" s="119">
        <f t="shared" ca="1" si="9"/>
        <v>164.40570522979397</v>
      </c>
      <c r="N90" s="119">
        <f t="shared" ca="1" si="10"/>
        <v>289.46530147895334</v>
      </c>
      <c r="O90" s="119">
        <f t="shared" ca="1" si="11"/>
        <v>180.1955990220049</v>
      </c>
      <c r="P90" s="119">
        <f t="shared" ca="1" si="12"/>
        <v>287.95121951219511</v>
      </c>
      <c r="Q90" s="119">
        <f t="shared" ca="1" si="13"/>
        <v>340.97391304347826</v>
      </c>
    </row>
    <row r="91" spans="1:17" ht="16.05" customHeight="1">
      <c r="A91" vm="671">
        <f ca="1"/>
        <v>45809</v>
      </c>
      <c r="B91" s="64" vm="672">
        <f ca="1"/>
        <v>62.88</v>
      </c>
      <c r="C91" s="64" vm="673">
        <f ca="1"/>
        <v>110.61</v>
      </c>
      <c r="D91" s="64" vm="674">
        <f ca="1"/>
        <v>56.32</v>
      </c>
      <c r="E91" s="64" vm="675">
        <f ca="1"/>
        <v>66.97</v>
      </c>
      <c r="F91" s="64" vm="676">
        <f ca="1"/>
        <v>31.95</v>
      </c>
      <c r="G91" s="64" vm="677">
        <f ca="1"/>
        <v>128.91999999999999</v>
      </c>
      <c r="H91" s="64" vm="678">
        <f ca="1"/>
        <v>105.46</v>
      </c>
      <c r="J91" vm="671">
        <v>45809</v>
      </c>
      <c r="K91" s="119">
        <f t="shared" ca="1" si="7"/>
        <v>641.63265306122446</v>
      </c>
      <c r="L91" s="119">
        <f t="shared" ca="1" si="8"/>
        <v>219.25199410094987</v>
      </c>
      <c r="M91" s="119">
        <f t="shared" ca="1" si="9"/>
        <v>178.51030110935025</v>
      </c>
      <c r="N91" s="119">
        <f t="shared" ca="1" si="10"/>
        <v>304.75540386803186</v>
      </c>
      <c r="O91" s="119">
        <f t="shared" ca="1" si="11"/>
        <v>195.29339853300732</v>
      </c>
      <c r="P91" s="119">
        <f t="shared" ca="1" si="12"/>
        <v>314.43902439024384</v>
      </c>
      <c r="Q91" s="119">
        <f t="shared" ca="1" si="13"/>
        <v>366.81739130434778</v>
      </c>
    </row>
    <row r="92" spans="1:17" ht="16.05" customHeight="1">
      <c r="A92" vm="679">
        <f ca="1"/>
        <v>45839</v>
      </c>
      <c r="B92" s="64" vm="680">
        <f ca="1"/>
        <v>61.94</v>
      </c>
      <c r="C92" s="64" vm="681">
        <f ca="1"/>
        <v>112.18</v>
      </c>
      <c r="D92" s="64" vm="682">
        <f ca="1"/>
        <v>56.29</v>
      </c>
      <c r="E92" s="64" vm="467">
        <f ca="1"/>
        <v>67.34</v>
      </c>
      <c r="F92" s="64" vm="683">
        <f ca="1"/>
        <v>30.8</v>
      </c>
      <c r="G92" s="64" vm="684">
        <f ca="1"/>
        <v>142.84</v>
      </c>
      <c r="H92" s="64" vm="685">
        <f ca="1"/>
        <v>112.92</v>
      </c>
      <c r="J92" vm="679">
        <v>45839</v>
      </c>
      <c r="K92" s="119">
        <f t="shared" ca="1" si="7"/>
        <v>632.0408163265306</v>
      </c>
      <c r="L92" s="119">
        <f t="shared" ca="1" si="8"/>
        <v>222.36406019568358</v>
      </c>
      <c r="M92" s="119">
        <f t="shared" ca="1" si="9"/>
        <v>178.41521394611726</v>
      </c>
      <c r="N92" s="119">
        <f t="shared" ca="1" si="10"/>
        <v>306.43913538111491</v>
      </c>
      <c r="O92" s="119">
        <f t="shared" ca="1" si="11"/>
        <v>188.26405867970661</v>
      </c>
      <c r="P92" s="119">
        <f t="shared" ca="1" si="12"/>
        <v>348.39024390243901</v>
      </c>
      <c r="Q92" s="119">
        <f t="shared" ca="1" si="13"/>
        <v>392.76521739130436</v>
      </c>
    </row>
    <row r="93" spans="1:17" ht="16.05" customHeight="1">
      <c r="A93" vm="686">
        <f ca="1"/>
        <v>45870</v>
      </c>
      <c r="B93" s="64" vm="687">
        <f ca="1"/>
        <v>69.84</v>
      </c>
      <c r="C93" s="64" vm="688">
        <f ca="1"/>
        <v>133.13999999999999</v>
      </c>
      <c r="D93" s="64" vm="689">
        <f ca="1"/>
        <v>65.88</v>
      </c>
      <c r="E93" s="64" vm="690">
        <f ca="1"/>
        <v>77.69</v>
      </c>
      <c r="F93" s="64" vm="691">
        <f ca="1"/>
        <v>35.33</v>
      </c>
      <c r="G93" s="64" vm="692">
        <f ca="1"/>
        <v>169.48</v>
      </c>
      <c r="H93" s="64" vm="693">
        <f ca="1"/>
        <v>132.02000000000001</v>
      </c>
      <c r="J93" vm="686">
        <v>45870</v>
      </c>
      <c r="K93" s="119">
        <f t="shared" ca="1" si="7"/>
        <v>712.65306122448976</v>
      </c>
      <c r="L93" s="119">
        <f t="shared" ca="1" si="8"/>
        <v>263.91113366422985</v>
      </c>
      <c r="M93" s="119">
        <f t="shared" ca="1" si="9"/>
        <v>208.81141045958793</v>
      </c>
      <c r="N93" s="119">
        <f t="shared" ca="1" si="10"/>
        <v>353.53811149032992</v>
      </c>
      <c r="O93" s="119">
        <f t="shared" ca="1" si="11"/>
        <v>215.95354523227383</v>
      </c>
      <c r="P93" s="119">
        <f t="shared" ca="1" si="12"/>
        <v>413.36585365853654</v>
      </c>
      <c r="Q93" s="119">
        <f t="shared" ca="1" si="13"/>
        <v>459.20000000000005</v>
      </c>
    </row>
    <row r="94" spans="1:17" ht="16.05" customHeight="1">
      <c r="A94" vm="694">
        <f ca="1"/>
        <v>45901</v>
      </c>
      <c r="B94" s="64" vm="695">
        <f ca="1"/>
        <v>73.86</v>
      </c>
      <c r="C94" s="64" vm="696">
        <f ca="1"/>
        <v>126.04</v>
      </c>
      <c r="D94" s="64" vm="697">
        <f ca="1"/>
        <v>63.37</v>
      </c>
      <c r="E94" s="64" vm="698">
        <f ca="1"/>
        <v>72.430000000000007</v>
      </c>
      <c r="F94" s="64" vm="194">
        <f ca="1"/>
        <v>33.97</v>
      </c>
      <c r="G94" s="64" vm="699">
        <f ca="1"/>
        <v>169.47</v>
      </c>
      <c r="H94" s="64" vm="700">
        <f ca="1"/>
        <v>132.13</v>
      </c>
      <c r="J94" vm="694">
        <v>45901</v>
      </c>
      <c r="K94" s="119">
        <f t="shared" ca="1" si="7"/>
        <v>753.67346938775506</v>
      </c>
      <c r="L94" s="119">
        <f t="shared" ca="1" si="8"/>
        <v>249.83745896830055</v>
      </c>
      <c r="M94" s="119">
        <f t="shared" ca="1" si="9"/>
        <v>200.85578446909668</v>
      </c>
      <c r="N94" s="119">
        <f t="shared" ca="1" si="10"/>
        <v>329.60182025028445</v>
      </c>
      <c r="O94" s="119">
        <f t="shared" ca="1" si="11"/>
        <v>207.64058679706599</v>
      </c>
      <c r="P94" s="119">
        <f t="shared" ca="1" si="12"/>
        <v>413.34146341463412</v>
      </c>
      <c r="Q94" s="119">
        <f t="shared" ca="1" si="13"/>
        <v>459.58260869565214</v>
      </c>
    </row>
    <row r="95" spans="1:17" ht="16.05" customHeight="1">
      <c r="A95" vm="701">
        <f ca="1"/>
        <v>45931</v>
      </c>
      <c r="B95" s="64" vm="702">
        <f ca="1"/>
        <v>64.739999999999995</v>
      </c>
      <c r="C95" s="64" vm="703">
        <f ca="1"/>
        <v>123.77</v>
      </c>
      <c r="D95" s="64" vm="704">
        <f ca="1"/>
        <v>59.4</v>
      </c>
      <c r="E95" s="64" vm="705">
        <f ca="1"/>
        <v>67.56</v>
      </c>
      <c r="F95" s="64" vm="706">
        <f ca="1"/>
        <v>31.85</v>
      </c>
      <c r="G95" s="64" vm="707">
        <f ca="1"/>
        <v>149.08000000000001</v>
      </c>
      <c r="H95" s="64" vm="708">
        <f ca="1"/>
        <v>119.87</v>
      </c>
      <c r="J95" vm="701">
        <v>45931</v>
      </c>
      <c r="K95" s="119">
        <f t="shared" ca="1" si="7"/>
        <v>660.61224489795916</v>
      </c>
      <c r="L95" s="119">
        <f t="shared" ca="1" si="8"/>
        <v>245.33784748101047</v>
      </c>
      <c r="M95" s="119">
        <f t="shared" ca="1" si="9"/>
        <v>188.27258320126782</v>
      </c>
      <c r="N95" s="119">
        <f t="shared" ca="1" si="10"/>
        <v>307.44027303754268</v>
      </c>
      <c r="O95" s="119">
        <f t="shared" ca="1" si="11"/>
        <v>194.68215158924207</v>
      </c>
      <c r="P95" s="119">
        <f t="shared" ca="1" si="12"/>
        <v>363.60975609756099</v>
      </c>
      <c r="Q95" s="119">
        <f t="shared" ca="1" si="13"/>
        <v>416.93913043478261</v>
      </c>
    </row>
    <row r="96" spans="1:17" ht="16.05" customHeight="1">
      <c r="A96" vm="709">
        <f ca="1"/>
        <v>45962</v>
      </c>
      <c r="B96" s="64" vm="710">
        <f ca="1"/>
        <v>67.88</v>
      </c>
      <c r="C96" s="64" vm="711">
        <f ca="1"/>
        <v>131.30000000000001</v>
      </c>
      <c r="D96" s="64" vm="712">
        <f ca="1"/>
        <v>65.290000000000006</v>
      </c>
      <c r="E96" s="64" vm="713">
        <f ca="1"/>
        <v>73.08</v>
      </c>
      <c r="F96" s="64" vm="714">
        <f ca="1"/>
        <v>34.119999999999997</v>
      </c>
      <c r="G96" s="64" vm="715">
        <f ca="1"/>
        <v>159.01</v>
      </c>
      <c r="H96" s="64" vm="716">
        <f ca="1"/>
        <v>127.19</v>
      </c>
      <c r="J96" vm="709">
        <v>45962</v>
      </c>
      <c r="K96" s="119">
        <f t="shared" ca="1" si="7"/>
        <v>692.65306122448976</v>
      </c>
      <c r="L96" s="119">
        <f t="shared" ca="1" si="8"/>
        <v>260.26387148951022</v>
      </c>
      <c r="M96" s="119">
        <f t="shared" ca="1" si="9"/>
        <v>206.94136291600637</v>
      </c>
      <c r="N96" s="119">
        <f t="shared" ca="1" si="10"/>
        <v>332.55972696245732</v>
      </c>
      <c r="O96" s="119">
        <f t="shared" ca="1" si="11"/>
        <v>208.55745721271393</v>
      </c>
      <c r="P96" s="119">
        <f t="shared" ca="1" si="12"/>
        <v>387.82926829268291</v>
      </c>
      <c r="Q96" s="119">
        <f t="shared" ca="1" si="13"/>
        <v>442.4</v>
      </c>
    </row>
    <row r="97" spans="1:17" ht="16.05" customHeight="1">
      <c r="A97" vm="717">
        <f ca="1"/>
        <v>45992</v>
      </c>
      <c r="B97" s="64" vm="718">
        <f ca="1"/>
        <v>62.66</v>
      </c>
      <c r="C97" s="64" vm="654">
        <f ca="1"/>
        <v>102.8</v>
      </c>
      <c r="D97" s="64" vm="719">
        <f ca="1"/>
        <v>59.35</v>
      </c>
      <c r="E97" s="64" vm="720">
        <f ca="1"/>
        <v>65.8</v>
      </c>
      <c r="F97" s="64" vm="721">
        <f ca="1"/>
        <v>31.47</v>
      </c>
      <c r="G97" s="64" vm="722">
        <f ca="1"/>
        <v>144.03</v>
      </c>
      <c r="H97" s="64" vm="723">
        <f ca="1"/>
        <v>117.26</v>
      </c>
      <c r="J97" vm="717">
        <v>45992</v>
      </c>
      <c r="K97" s="119">
        <f t="shared" ca="1" si="7"/>
        <v>639.38775510204073</v>
      </c>
      <c r="L97" s="119">
        <f t="shared" ca="1" si="8"/>
        <v>203.7709519354276</v>
      </c>
      <c r="M97" s="119">
        <f t="shared" ca="1" si="9"/>
        <v>188.11410459587955</v>
      </c>
      <c r="N97" s="119">
        <f t="shared" ca="1" si="10"/>
        <v>299.43117178612056</v>
      </c>
      <c r="O97" s="119">
        <f t="shared" ca="1" si="11"/>
        <v>192.35941320293398</v>
      </c>
      <c r="P97" s="119">
        <f t="shared" ca="1" si="12"/>
        <v>351.29268292682929</v>
      </c>
      <c r="Q97" s="119">
        <f t="shared" ca="1" si="13"/>
        <v>407.8608695652174</v>
      </c>
    </row>
    <row r="98" spans="1:17" ht="16.05" customHeight="1">
      <c r="A98" vm="724">
        <f ca="1"/>
        <v>46023</v>
      </c>
      <c r="B98" s="64" vm="725">
        <f ca="1"/>
        <v>69.39</v>
      </c>
      <c r="C98" s="64" vm="726">
        <f ca="1"/>
        <v>109.35</v>
      </c>
      <c r="D98" s="64" vm="727">
        <f ca="1"/>
        <v>62.98</v>
      </c>
      <c r="E98" s="64" vm="728">
        <f ca="1"/>
        <v>69.510000000000005</v>
      </c>
      <c r="F98" s="64" vm="729">
        <f ca="1"/>
        <v>33.35</v>
      </c>
      <c r="G98" s="64" vm="730">
        <f ca="1"/>
        <v>148.84</v>
      </c>
      <c r="H98" s="64" vm="731">
        <f ca="1"/>
        <v>125.09</v>
      </c>
      <c r="J98" vm="724">
        <v>46023</v>
      </c>
      <c r="K98" s="119">
        <f t="shared" ca="1" si="7"/>
        <v>708.0612244897959</v>
      </c>
      <c r="L98" s="119">
        <f t="shared" ca="1" si="8"/>
        <v>216.75441239434832</v>
      </c>
      <c r="M98" s="119">
        <f t="shared" ca="1" si="9"/>
        <v>199.61965134706813</v>
      </c>
      <c r="N98" s="119">
        <f t="shared" ca="1" si="10"/>
        <v>316.31399317406147</v>
      </c>
      <c r="O98" s="119">
        <f t="shared" ca="1" si="11"/>
        <v>203.85085574572128</v>
      </c>
      <c r="P98" s="119">
        <f t="shared" ca="1" si="12"/>
        <v>363.02439024390242</v>
      </c>
      <c r="Q98" s="119">
        <f t="shared" ca="1" si="13"/>
        <v>435.09565217391304</v>
      </c>
    </row>
    <row r="99" spans="1:17" ht="16.05" customHeight="1">
      <c r="A99" vm="732">
        <f ca="1"/>
        <v>46054</v>
      </c>
      <c r="B99" vm="733">
        <f ca="1"/>
        <v>73.66</v>
      </c>
      <c r="C99" vm="734">
        <f ca="1"/>
        <v>114.36</v>
      </c>
      <c r="D99" vm="735">
        <f ca="1"/>
        <v>67.23</v>
      </c>
      <c r="E99" vm="736">
        <f ca="1"/>
        <v>75.42</v>
      </c>
      <c r="F99" vm="737">
        <f ca="1"/>
        <v>46.3</v>
      </c>
      <c r="G99" vm="738">
        <f ca="1"/>
        <v>160.38999999999999</v>
      </c>
      <c r="H99" vm="739">
        <f ca="1"/>
        <v>137.19999999999999</v>
      </c>
    </row>
    <row r="100" spans="1:17" ht="16.05" customHeight="1">
      <c r="A100" vm="740">
        <f ca="1"/>
        <v>46082</v>
      </c>
      <c r="B100" vm="741">
        <f ca="1"/>
        <v>64.45</v>
      </c>
      <c r="C100" vm="742">
        <f ca="1"/>
        <v>86.84</v>
      </c>
      <c r="D100" vm="743">
        <f ca="1"/>
        <v>57.38</v>
      </c>
      <c r="E100" vm="744">
        <f ca="1"/>
        <v>61.84</v>
      </c>
      <c r="F100" vm="745">
        <f ca="1"/>
        <v>46.73</v>
      </c>
      <c r="G100" vm="746">
        <f ca="1"/>
        <v>137.22</v>
      </c>
      <c r="H100" vm="747">
        <f ca="1"/>
        <v>117.61</v>
      </c>
    </row>
    <row r="101" spans="1:17" ht="16.05" customHeight="1">
      <c r="A101" vm="748">
        <f ca="1"/>
        <v>46113</v>
      </c>
      <c r="B101" vm="749">
        <f ca="1"/>
        <v>67.44</v>
      </c>
      <c r="C101" vm="750">
        <f ca="1"/>
        <v>90.3</v>
      </c>
      <c r="D101" vm="751">
        <f ca="1"/>
        <v>56.02</v>
      </c>
      <c r="E101" vm="467">
        <f ca="1"/>
        <v>67.34</v>
      </c>
      <c r="F101" vm="752">
        <f ca="1"/>
        <v>46.89</v>
      </c>
      <c r="G101" vm="753">
        <f ca="1"/>
        <v>153.86000000000001</v>
      </c>
      <c r="H101" vm="754">
        <f ca="1"/>
        <v>122.36</v>
      </c>
    </row>
    <row r="102" spans="1:17" ht="16.05" customHeight="1">
      <c r="A102" vm="755">
        <f ca="1"/>
        <v>46143</v>
      </c>
      <c r="B102" vm="756">
        <f ca="1"/>
        <v>67.260000000000005</v>
      </c>
      <c r="C102" vm="757">
        <f ca="1"/>
        <v>89.78</v>
      </c>
      <c r="D102" vm="758">
        <f ca="1"/>
        <v>52.82</v>
      </c>
      <c r="E102" vm="759">
        <f ca="1"/>
        <v>65.239999999999995</v>
      </c>
      <c r="F102" vm="760">
        <f ca="1"/>
        <v>46.95</v>
      </c>
      <c r="G102" vm="761">
        <f ca="1"/>
        <v>147.09</v>
      </c>
      <c r="H102" vm="762">
        <f ca="1"/>
        <v>118.18</v>
      </c>
    </row>
    <row r="103" spans="1:17" ht="16.05" customHeight="1">
      <c r="A103" vm="763">
        <f ca="1"/>
        <v>46174</v>
      </c>
      <c r="B103" vm="764">
        <f ca="1"/>
        <v>80.040000000000006</v>
      </c>
      <c r="C103" vm="765">
        <f ca="1"/>
        <v>90.49</v>
      </c>
      <c r="D103" vm="766">
        <f ca="1"/>
        <v>71.66</v>
      </c>
      <c r="E103" vm="767">
        <f ca="1"/>
        <v>83.85</v>
      </c>
      <c r="G103" vm="768">
        <f ca="1"/>
        <v>162.88</v>
      </c>
      <c r="H103" vm="769">
        <f ca="1"/>
        <v>137.21</v>
      </c>
    </row>
    <row r="104" spans="1:17" ht="16.05" customHeight="1">
      <c r="A104" vm="770">
        <f ca="1"/>
        <v>46204</v>
      </c>
      <c r="B104" vm="771">
        <f ca="1"/>
        <v>70.73</v>
      </c>
      <c r="C104" vm="772">
        <f ca="1"/>
        <v>82.35</v>
      </c>
      <c r="D104" vm="773">
        <f ca="1"/>
        <v>67.16</v>
      </c>
      <c r="E104" vm="774">
        <f ca="1"/>
        <v>70.2</v>
      </c>
      <c r="G104" vm="775">
        <f ca="1"/>
        <v>143.06</v>
      </c>
      <c r="H104" vm="776">
        <f ca="1"/>
        <v>126.47</v>
      </c>
    </row>
    <row r="105" spans="1:17" ht="16.05" customHeight="1">
      <c r="A105" vm="777">
        <f ca="1"/>
        <v>46235</v>
      </c>
      <c r="B105" vm="778">
        <f ca="1"/>
        <v>72.77</v>
      </c>
      <c r="C105" vm="779">
        <f ca="1"/>
        <v>88.16</v>
      </c>
      <c r="D105" vm="780">
        <f ca="1"/>
        <v>69.41</v>
      </c>
      <c r="E105" vm="781">
        <f ca="1"/>
        <v>72.52</v>
      </c>
      <c r="G105" vm="782">
        <f ca="1"/>
        <v>148.97</v>
      </c>
      <c r="H105" vm="783">
        <f ca="1"/>
        <v>129.61000000000001</v>
      </c>
    </row>
  </sheetData>
  <mergeCells count="2">
    <mergeCell ref="A4:H4"/>
    <mergeCell ref="J5:Q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CBD9-0F53-46A7-AD61-0D6ABDBF576E}">
  <sheetPr>
    <tabColor theme="5" tint="0.79998168889431442"/>
  </sheetPr>
  <dimension ref="A1:C31"/>
  <sheetViews>
    <sheetView showGridLines="0" workbookViewId="0">
      <selection activeCell="J33" sqref="J33"/>
    </sheetView>
  </sheetViews>
  <sheetFormatPr defaultColWidth="16.77734375" defaultRowHeight="16.05" customHeight="1"/>
  <cols>
    <col min="1" max="1" width="10.44140625" bestFit="1" customWidth="1"/>
  </cols>
  <sheetData>
    <row r="1" spans="1:3" ht="30" customHeight="1">
      <c r="A1" s="121" t="s">
        <v>213</v>
      </c>
      <c r="B1" s="121" t="s">
        <v>221</v>
      </c>
      <c r="C1" t="s">
        <v>222</v>
      </c>
    </row>
    <row r="2" spans="1:3" ht="15" customHeight="1">
      <c r="A2" s="120">
        <v>43101</v>
      </c>
      <c r="B2" s="13">
        <v>331800</v>
      </c>
    </row>
    <row r="3" spans="1:3" ht="16.05" customHeight="1">
      <c r="A3" s="120">
        <v>43191</v>
      </c>
      <c r="B3" s="13">
        <v>315600</v>
      </c>
    </row>
    <row r="4" spans="1:3" ht="16.05" customHeight="1">
      <c r="A4" s="120">
        <v>43282</v>
      </c>
      <c r="B4" s="13">
        <v>330900</v>
      </c>
    </row>
    <row r="5" spans="1:3" ht="16.05" customHeight="1">
      <c r="A5" s="120">
        <v>43374</v>
      </c>
      <c r="B5" s="13">
        <v>322800</v>
      </c>
    </row>
    <row r="6" spans="1:3" ht="16.05" customHeight="1">
      <c r="A6" s="120">
        <v>43466</v>
      </c>
      <c r="B6" s="13">
        <v>313000</v>
      </c>
    </row>
    <row r="7" spans="1:3" ht="16.05" customHeight="1">
      <c r="A7" s="120">
        <v>43556</v>
      </c>
      <c r="B7" s="13">
        <v>322500</v>
      </c>
    </row>
    <row r="8" spans="1:3" ht="16.05" customHeight="1">
      <c r="A8" s="120">
        <v>43647</v>
      </c>
      <c r="B8" s="13">
        <v>318400</v>
      </c>
    </row>
    <row r="9" spans="1:3" ht="16.05" customHeight="1">
      <c r="A9" s="120">
        <v>43739</v>
      </c>
      <c r="B9" s="13">
        <v>327100</v>
      </c>
    </row>
    <row r="10" spans="1:3" ht="16.05" customHeight="1">
      <c r="A10" s="120">
        <v>43831</v>
      </c>
      <c r="B10" s="13">
        <v>329000</v>
      </c>
    </row>
    <row r="11" spans="1:3" ht="16.05" customHeight="1">
      <c r="A11" s="120">
        <v>43922</v>
      </c>
      <c r="B11" s="13">
        <v>317100</v>
      </c>
    </row>
    <row r="12" spans="1:3" ht="16.05" customHeight="1">
      <c r="A12" s="120">
        <v>44013</v>
      </c>
      <c r="B12" s="13">
        <v>327900</v>
      </c>
    </row>
    <row r="13" spans="1:3" ht="16.05" customHeight="1">
      <c r="A13" s="120">
        <v>44105</v>
      </c>
      <c r="B13" s="13">
        <v>338600</v>
      </c>
    </row>
    <row r="14" spans="1:3" ht="16.05" customHeight="1">
      <c r="A14" s="120">
        <v>44197</v>
      </c>
      <c r="B14" s="13">
        <v>355000</v>
      </c>
    </row>
    <row r="15" spans="1:3" ht="16.05" customHeight="1">
      <c r="A15" s="120">
        <v>44287</v>
      </c>
      <c r="B15" s="13">
        <v>367800</v>
      </c>
    </row>
    <row r="16" spans="1:3" ht="16.05" customHeight="1">
      <c r="A16" s="120">
        <v>44378</v>
      </c>
      <c r="B16" s="13">
        <v>395200</v>
      </c>
    </row>
    <row r="17" spans="1:2" ht="16.05" customHeight="1">
      <c r="A17" s="120">
        <v>44470</v>
      </c>
      <c r="B17" s="13">
        <v>414000</v>
      </c>
    </row>
    <row r="18" spans="1:2" ht="16.05" customHeight="1">
      <c r="A18" s="120">
        <v>44562</v>
      </c>
      <c r="B18" s="13">
        <v>413500</v>
      </c>
    </row>
    <row r="19" spans="1:2" ht="16.05" customHeight="1">
      <c r="A19" s="120">
        <v>44652</v>
      </c>
      <c r="B19" s="13">
        <v>437700</v>
      </c>
    </row>
    <row r="20" spans="1:2" ht="16.05" customHeight="1">
      <c r="A20" s="120">
        <v>44743</v>
      </c>
      <c r="B20" s="13">
        <v>438000</v>
      </c>
    </row>
    <row r="21" spans="1:2" ht="16.05" customHeight="1">
      <c r="A21" s="120">
        <v>44835</v>
      </c>
      <c r="B21" s="13">
        <v>442600</v>
      </c>
    </row>
    <row r="22" spans="1:2" ht="16.05" customHeight="1">
      <c r="A22" s="120">
        <v>44927</v>
      </c>
      <c r="B22" s="13">
        <v>429000</v>
      </c>
    </row>
    <row r="23" spans="1:2" ht="16.05" customHeight="1">
      <c r="A23" s="120">
        <v>45017</v>
      </c>
      <c r="B23" s="13">
        <v>418500</v>
      </c>
    </row>
    <row r="24" spans="1:2" ht="16.05" customHeight="1">
      <c r="A24" s="120">
        <v>45108</v>
      </c>
      <c r="B24" s="13">
        <v>435400</v>
      </c>
    </row>
    <row r="25" spans="1:2" ht="16.05" customHeight="1">
      <c r="A25" s="120">
        <v>45200</v>
      </c>
      <c r="B25" s="13">
        <v>423200</v>
      </c>
    </row>
    <row r="26" spans="1:2" ht="16.05" customHeight="1">
      <c r="A26" s="120">
        <v>45292</v>
      </c>
      <c r="B26" s="13">
        <v>426800</v>
      </c>
    </row>
    <row r="27" spans="1:2" ht="16.05" customHeight="1">
      <c r="A27" s="120">
        <v>45383</v>
      </c>
      <c r="B27" s="13">
        <v>414500</v>
      </c>
    </row>
    <row r="28" spans="1:2" ht="16.05" customHeight="1">
      <c r="A28" s="120">
        <v>45474</v>
      </c>
      <c r="B28" s="13">
        <v>415300</v>
      </c>
    </row>
    <row r="29" spans="1:2" ht="16.05" customHeight="1">
      <c r="A29" s="120">
        <v>45566</v>
      </c>
      <c r="B29" s="13">
        <v>419300</v>
      </c>
    </row>
    <row r="30" spans="1:2" ht="16.05" customHeight="1">
      <c r="A30" s="120">
        <v>45658</v>
      </c>
      <c r="B30" s="13">
        <v>423100</v>
      </c>
    </row>
    <row r="31" spans="1:2" ht="16.05" customHeight="1">
      <c r="A31" s="120">
        <v>45748</v>
      </c>
      <c r="B31" s="13">
        <v>410800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A8D5-D11D-41AB-8A3D-9496973D72D0}">
  <sheetPr>
    <tabColor theme="5" tint="0.79998168889431442"/>
  </sheetPr>
  <dimension ref="A1:C423"/>
  <sheetViews>
    <sheetView showGridLines="0" workbookViewId="0">
      <selection activeCell="J33" sqref="J33"/>
    </sheetView>
  </sheetViews>
  <sheetFormatPr defaultColWidth="16.77734375" defaultRowHeight="16.05" customHeight="1"/>
  <cols>
    <col min="1" max="1" width="16.5546875" bestFit="1" customWidth="1"/>
    <col min="2" max="2" width="16.77734375" style="10"/>
  </cols>
  <sheetData>
    <row r="1" spans="1:3" ht="30" customHeight="1">
      <c r="A1" s="121" t="s">
        <v>213</v>
      </c>
      <c r="B1" s="121" t="s">
        <v>223</v>
      </c>
      <c r="C1" s="123" t="s">
        <v>222</v>
      </c>
    </row>
    <row r="2" spans="1:3" ht="15" customHeight="1">
      <c r="A2" s="120">
        <v>43104</v>
      </c>
      <c r="B2" s="8">
        <v>3.95E-2</v>
      </c>
    </row>
    <row r="3" spans="1:3" ht="16.05" customHeight="1">
      <c r="A3" s="120">
        <v>43111</v>
      </c>
      <c r="B3" s="8">
        <v>3.9900000000000005E-2</v>
      </c>
    </row>
    <row r="4" spans="1:3" ht="16.05" customHeight="1">
      <c r="A4" s="120">
        <v>43118</v>
      </c>
      <c r="B4" s="8">
        <v>4.0399999999999998E-2</v>
      </c>
    </row>
    <row r="5" spans="1:3" ht="16.05" customHeight="1">
      <c r="A5" s="120">
        <v>43125</v>
      </c>
      <c r="B5" s="8">
        <v>4.1500000000000002E-2</v>
      </c>
    </row>
    <row r="6" spans="1:3" ht="16.05" customHeight="1">
      <c r="A6" s="120">
        <v>43132</v>
      </c>
      <c r="B6" s="8">
        <v>4.2199999999999994E-2</v>
      </c>
    </row>
    <row r="7" spans="1:3" ht="16.05" customHeight="1">
      <c r="A7" s="120">
        <v>43139</v>
      </c>
      <c r="B7" s="8">
        <v>4.3200000000000002E-2</v>
      </c>
    </row>
    <row r="8" spans="1:3" ht="16.05" customHeight="1">
      <c r="A8" s="120">
        <v>43146</v>
      </c>
      <c r="B8" s="8">
        <v>4.3799999999999999E-2</v>
      </c>
    </row>
    <row r="9" spans="1:3" ht="16.05" customHeight="1">
      <c r="A9" s="120">
        <v>43153</v>
      </c>
      <c r="B9" s="8">
        <v>4.4000000000000004E-2</v>
      </c>
    </row>
    <row r="10" spans="1:3" ht="16.05" customHeight="1">
      <c r="A10" s="120">
        <v>43160</v>
      </c>
      <c r="B10" s="8">
        <v>4.4299999999999999E-2</v>
      </c>
    </row>
    <row r="11" spans="1:3" ht="16.05" customHeight="1">
      <c r="A11" s="120">
        <v>43167</v>
      </c>
      <c r="B11" s="8">
        <v>4.4600000000000001E-2</v>
      </c>
    </row>
    <row r="12" spans="1:3" ht="16.05" customHeight="1">
      <c r="A12" s="120">
        <v>43174</v>
      </c>
      <c r="B12" s="8">
        <v>4.4400000000000002E-2</v>
      </c>
    </row>
    <row r="13" spans="1:3" ht="16.05" customHeight="1">
      <c r="A13" s="120">
        <v>43181</v>
      </c>
      <c r="B13" s="8">
        <v>4.4500000000000005E-2</v>
      </c>
    </row>
    <row r="14" spans="1:3" ht="16.05" customHeight="1">
      <c r="A14" s="120">
        <v>43188</v>
      </c>
      <c r="B14" s="8">
        <v>4.4400000000000002E-2</v>
      </c>
    </row>
    <row r="15" spans="1:3" ht="16.05" customHeight="1">
      <c r="A15" s="120">
        <v>43195</v>
      </c>
      <c r="B15" s="8">
        <v>4.4000000000000004E-2</v>
      </c>
    </row>
    <row r="16" spans="1:3" ht="16.05" customHeight="1">
      <c r="A16" s="120">
        <v>43202</v>
      </c>
      <c r="B16" s="8">
        <v>4.4199999999999996E-2</v>
      </c>
    </row>
    <row r="17" spans="1:2" ht="16.05" customHeight="1">
      <c r="A17" s="120">
        <v>43209</v>
      </c>
      <c r="B17" s="8">
        <v>4.4699999999999997E-2</v>
      </c>
    </row>
    <row r="18" spans="1:2" ht="16.05" customHeight="1">
      <c r="A18" s="120">
        <v>43216</v>
      </c>
      <c r="B18" s="8">
        <v>4.58E-2</v>
      </c>
    </row>
    <row r="19" spans="1:2" ht="16.05" customHeight="1">
      <c r="A19" s="120">
        <v>43223</v>
      </c>
      <c r="B19" s="8">
        <v>4.5499999999999999E-2</v>
      </c>
    </row>
    <row r="20" spans="1:2" ht="16.05" customHeight="1">
      <c r="A20" s="120">
        <v>43230</v>
      </c>
      <c r="B20" s="8">
        <v>4.5499999999999999E-2</v>
      </c>
    </row>
    <row r="21" spans="1:2" ht="16.05" customHeight="1">
      <c r="A21" s="120">
        <v>43237</v>
      </c>
      <c r="B21" s="8">
        <v>4.6100000000000002E-2</v>
      </c>
    </row>
    <row r="22" spans="1:2" ht="16.05" customHeight="1">
      <c r="A22" s="120">
        <v>43244</v>
      </c>
      <c r="B22" s="8">
        <v>4.6600000000000003E-2</v>
      </c>
    </row>
    <row r="23" spans="1:2" ht="16.05" customHeight="1">
      <c r="A23" s="120">
        <v>43251</v>
      </c>
      <c r="B23" s="8">
        <v>4.5599999999999995E-2</v>
      </c>
    </row>
    <row r="24" spans="1:2" ht="16.05" customHeight="1">
      <c r="A24" s="120">
        <v>43258</v>
      </c>
      <c r="B24" s="8">
        <v>4.5400000000000003E-2</v>
      </c>
    </row>
    <row r="25" spans="1:2" ht="16.05" customHeight="1">
      <c r="A25" s="120">
        <v>43265</v>
      </c>
      <c r="B25" s="8">
        <v>4.6199999999999998E-2</v>
      </c>
    </row>
    <row r="26" spans="1:2" ht="16.05" customHeight="1">
      <c r="A26" s="120">
        <v>43272</v>
      </c>
      <c r="B26" s="8">
        <v>4.5700000000000005E-2</v>
      </c>
    </row>
    <row r="27" spans="1:2" ht="16.05" customHeight="1">
      <c r="A27" s="120">
        <v>43279</v>
      </c>
      <c r="B27" s="8">
        <v>4.5499999999999999E-2</v>
      </c>
    </row>
    <row r="28" spans="1:2" ht="16.05" customHeight="1">
      <c r="A28" s="120">
        <v>43286</v>
      </c>
      <c r="B28" s="8">
        <v>4.5199999999999997E-2</v>
      </c>
    </row>
    <row r="29" spans="1:2" ht="16.05" customHeight="1">
      <c r="A29" s="120">
        <v>43293</v>
      </c>
      <c r="B29" s="8">
        <v>4.53E-2</v>
      </c>
    </row>
    <row r="30" spans="1:2" ht="16.05" customHeight="1">
      <c r="A30" s="120">
        <v>43300</v>
      </c>
      <c r="B30" s="8">
        <v>4.5199999999999997E-2</v>
      </c>
    </row>
    <row r="31" spans="1:2" ht="16.05" customHeight="1">
      <c r="A31" s="120">
        <v>43307</v>
      </c>
      <c r="B31" s="8">
        <v>4.5400000000000003E-2</v>
      </c>
    </row>
    <row r="32" spans="1:2" ht="16.05" customHeight="1">
      <c r="A32" s="120">
        <v>43314</v>
      </c>
      <c r="B32" s="8">
        <v>4.5999999999999999E-2</v>
      </c>
    </row>
    <row r="33" spans="1:2" ht="16.05" customHeight="1">
      <c r="A33" s="120">
        <v>43321</v>
      </c>
      <c r="B33" s="8">
        <v>4.5899999999999996E-2</v>
      </c>
    </row>
    <row r="34" spans="1:2" ht="16.05" customHeight="1">
      <c r="A34" s="120">
        <v>43328</v>
      </c>
      <c r="B34" s="8">
        <v>4.53E-2</v>
      </c>
    </row>
    <row r="35" spans="1:2" ht="16.05" customHeight="1">
      <c r="A35" s="120">
        <v>43335</v>
      </c>
      <c r="B35" s="8">
        <v>4.5100000000000001E-2</v>
      </c>
    </row>
    <row r="36" spans="1:2" ht="16.05" customHeight="1">
      <c r="A36" s="120">
        <v>43342</v>
      </c>
      <c r="B36" s="8">
        <v>4.5199999999999997E-2</v>
      </c>
    </row>
    <row r="37" spans="1:2" ht="16.05" customHeight="1">
      <c r="A37" s="120">
        <v>43349</v>
      </c>
      <c r="B37" s="8">
        <v>4.5400000000000003E-2</v>
      </c>
    </row>
    <row r="38" spans="1:2" ht="16.05" customHeight="1">
      <c r="A38" s="120">
        <v>43356</v>
      </c>
      <c r="B38" s="8">
        <v>4.5999999999999999E-2</v>
      </c>
    </row>
    <row r="39" spans="1:2" ht="16.05" customHeight="1">
      <c r="A39" s="120">
        <v>43363</v>
      </c>
      <c r="B39" s="8">
        <v>4.6500000000000007E-2</v>
      </c>
    </row>
    <row r="40" spans="1:2" ht="16.05" customHeight="1">
      <c r="A40" s="120">
        <v>43370</v>
      </c>
      <c r="B40" s="8">
        <v>4.7199999999999999E-2</v>
      </c>
    </row>
    <row r="41" spans="1:2" ht="16.05" customHeight="1">
      <c r="A41" s="120">
        <v>43377</v>
      </c>
      <c r="B41" s="8">
        <v>4.7100000000000003E-2</v>
      </c>
    </row>
    <row r="42" spans="1:2" ht="16.05" customHeight="1">
      <c r="A42" s="120">
        <v>43384</v>
      </c>
      <c r="B42" s="8">
        <v>4.9000000000000002E-2</v>
      </c>
    </row>
    <row r="43" spans="1:2" ht="16.05" customHeight="1">
      <c r="A43" s="120">
        <v>43391</v>
      </c>
      <c r="B43" s="8">
        <v>4.8499999999999995E-2</v>
      </c>
    </row>
    <row r="44" spans="1:2" ht="16.05" customHeight="1">
      <c r="A44" s="120">
        <v>43398</v>
      </c>
      <c r="B44" s="8">
        <v>4.8600000000000004E-2</v>
      </c>
    </row>
    <row r="45" spans="1:2" ht="16.05" customHeight="1">
      <c r="A45" s="120">
        <v>43405</v>
      </c>
      <c r="B45" s="8">
        <v>4.8300000000000003E-2</v>
      </c>
    </row>
    <row r="46" spans="1:2" ht="16.05" customHeight="1">
      <c r="A46" s="120">
        <v>43412</v>
      </c>
      <c r="B46" s="8">
        <v>4.9400000000000006E-2</v>
      </c>
    </row>
    <row r="47" spans="1:2" ht="16.05" customHeight="1">
      <c r="A47" s="120">
        <v>43419</v>
      </c>
      <c r="B47" s="8">
        <v>4.9400000000000006E-2</v>
      </c>
    </row>
    <row r="48" spans="1:2" ht="16.05" customHeight="1">
      <c r="A48" s="120">
        <v>43425</v>
      </c>
      <c r="B48" s="8">
        <v>4.8099999999999997E-2</v>
      </c>
    </row>
    <row r="49" spans="1:2" ht="16.05" customHeight="1">
      <c r="A49" s="120">
        <v>43433</v>
      </c>
      <c r="B49" s="8">
        <v>4.8099999999999997E-2</v>
      </c>
    </row>
    <row r="50" spans="1:2" ht="16.05" customHeight="1">
      <c r="A50" s="120">
        <v>43440</v>
      </c>
      <c r="B50" s="8">
        <v>4.7500000000000001E-2</v>
      </c>
    </row>
    <row r="51" spans="1:2" ht="16.05" customHeight="1">
      <c r="A51" s="120">
        <v>43447</v>
      </c>
      <c r="B51" s="8">
        <v>4.6300000000000001E-2</v>
      </c>
    </row>
    <row r="52" spans="1:2" ht="16.05" customHeight="1">
      <c r="A52" s="120">
        <v>43454</v>
      </c>
      <c r="B52" s="8">
        <v>4.6199999999999998E-2</v>
      </c>
    </row>
    <row r="53" spans="1:2" ht="16.05" customHeight="1">
      <c r="A53" s="120">
        <v>43461</v>
      </c>
      <c r="B53" s="8">
        <v>4.5499999999999999E-2</v>
      </c>
    </row>
    <row r="54" spans="1:2" ht="16.05" customHeight="1">
      <c r="A54" s="120">
        <v>43468</v>
      </c>
      <c r="B54" s="8">
        <v>4.5100000000000001E-2</v>
      </c>
    </row>
    <row r="55" spans="1:2" ht="16.05" customHeight="1">
      <c r="A55" s="120">
        <v>43475</v>
      </c>
      <c r="B55" s="8">
        <v>4.4500000000000005E-2</v>
      </c>
    </row>
    <row r="56" spans="1:2" ht="16.05" customHeight="1">
      <c r="A56" s="120">
        <v>43482</v>
      </c>
      <c r="B56" s="8">
        <v>4.4500000000000005E-2</v>
      </c>
    </row>
    <row r="57" spans="1:2" ht="16.05" customHeight="1">
      <c r="A57" s="120">
        <v>43489</v>
      </c>
      <c r="B57" s="8">
        <v>4.4500000000000005E-2</v>
      </c>
    </row>
    <row r="58" spans="1:2" ht="16.05" customHeight="1">
      <c r="A58" s="120">
        <v>43496</v>
      </c>
      <c r="B58" s="8">
        <v>4.4600000000000001E-2</v>
      </c>
    </row>
    <row r="59" spans="1:2" ht="16.05" customHeight="1">
      <c r="A59" s="120">
        <v>43503</v>
      </c>
      <c r="B59" s="8">
        <v>4.41E-2</v>
      </c>
    </row>
    <row r="60" spans="1:2" ht="16.05" customHeight="1">
      <c r="A60" s="120">
        <v>43510</v>
      </c>
      <c r="B60" s="8">
        <v>4.3700000000000003E-2</v>
      </c>
    </row>
    <row r="61" spans="1:2" ht="16.05" customHeight="1">
      <c r="A61" s="120">
        <v>43517</v>
      </c>
      <c r="B61" s="8">
        <v>4.3499999999999997E-2</v>
      </c>
    </row>
    <row r="62" spans="1:2" ht="16.05" customHeight="1">
      <c r="A62" s="120">
        <v>43524</v>
      </c>
      <c r="B62" s="8">
        <v>4.3499999999999997E-2</v>
      </c>
    </row>
    <row r="63" spans="1:2" ht="16.05" customHeight="1">
      <c r="A63" s="120">
        <v>43531</v>
      </c>
      <c r="B63" s="8">
        <v>4.41E-2</v>
      </c>
    </row>
    <row r="64" spans="1:2" ht="16.05" customHeight="1">
      <c r="A64" s="120">
        <v>43538</v>
      </c>
      <c r="B64" s="8">
        <v>4.3099999999999999E-2</v>
      </c>
    </row>
    <row r="65" spans="1:2" ht="16.05" customHeight="1">
      <c r="A65" s="120">
        <v>43545</v>
      </c>
      <c r="B65" s="8">
        <v>4.2800000000000005E-2</v>
      </c>
    </row>
    <row r="66" spans="1:2" ht="16.05" customHeight="1">
      <c r="A66" s="120">
        <v>43552</v>
      </c>
      <c r="B66" s="8">
        <v>4.0599999999999997E-2</v>
      </c>
    </row>
    <row r="67" spans="1:2" ht="16.05" customHeight="1">
      <c r="A67" s="120">
        <v>43559</v>
      </c>
      <c r="B67" s="8">
        <v>4.0800000000000003E-2</v>
      </c>
    </row>
    <row r="68" spans="1:2" ht="16.05" customHeight="1">
      <c r="A68" s="120">
        <v>43566</v>
      </c>
      <c r="B68" s="8">
        <v>4.1200000000000001E-2</v>
      </c>
    </row>
    <row r="69" spans="1:2" ht="16.05" customHeight="1">
      <c r="A69" s="120">
        <v>43573</v>
      </c>
      <c r="B69" s="8">
        <v>4.1700000000000001E-2</v>
      </c>
    </row>
    <row r="70" spans="1:2" ht="16.05" customHeight="1">
      <c r="A70" s="120">
        <v>43580</v>
      </c>
      <c r="B70" s="8">
        <v>4.2000000000000003E-2</v>
      </c>
    </row>
    <row r="71" spans="1:2" ht="16.05" customHeight="1">
      <c r="A71" s="120">
        <v>43587</v>
      </c>
      <c r="B71" s="8">
        <v>4.1399999999999999E-2</v>
      </c>
    </row>
    <row r="72" spans="1:2" ht="16.05" customHeight="1">
      <c r="A72" s="120">
        <v>43594</v>
      </c>
      <c r="B72" s="8">
        <v>4.0999999999999995E-2</v>
      </c>
    </row>
    <row r="73" spans="1:2" ht="16.05" customHeight="1">
      <c r="A73" s="120">
        <v>43601</v>
      </c>
      <c r="B73" s="8">
        <v>4.07E-2</v>
      </c>
    </row>
    <row r="74" spans="1:2" ht="16.05" customHeight="1">
      <c r="A74" s="120">
        <v>43608</v>
      </c>
      <c r="B74" s="8">
        <v>4.0599999999999997E-2</v>
      </c>
    </row>
    <row r="75" spans="1:2" ht="16.05" customHeight="1">
      <c r="A75" s="120">
        <v>43615</v>
      </c>
      <c r="B75" s="8">
        <v>3.9900000000000005E-2</v>
      </c>
    </row>
    <row r="76" spans="1:2" ht="16.05" customHeight="1">
      <c r="A76" s="120">
        <v>43622</v>
      </c>
      <c r="B76" s="8">
        <v>3.8199999999999998E-2</v>
      </c>
    </row>
    <row r="77" spans="1:2" ht="16.05" customHeight="1">
      <c r="A77" s="120">
        <v>43629</v>
      </c>
      <c r="B77" s="8">
        <v>3.8199999999999998E-2</v>
      </c>
    </row>
    <row r="78" spans="1:2" ht="16.05" customHeight="1">
      <c r="A78" s="120">
        <v>43636</v>
      </c>
      <c r="B78" s="8">
        <v>3.8399999999999997E-2</v>
      </c>
    </row>
    <row r="79" spans="1:2" ht="16.05" customHeight="1">
      <c r="A79" s="120">
        <v>43643</v>
      </c>
      <c r="B79" s="8">
        <v>3.73E-2</v>
      </c>
    </row>
    <row r="80" spans="1:2" ht="16.05" customHeight="1">
      <c r="A80" s="120">
        <v>43649</v>
      </c>
      <c r="B80" s="8">
        <v>3.7499999999999999E-2</v>
      </c>
    </row>
    <row r="81" spans="1:2" ht="16.05" customHeight="1">
      <c r="A81" s="120">
        <v>43657</v>
      </c>
      <c r="B81" s="8">
        <v>3.7499999999999999E-2</v>
      </c>
    </row>
    <row r="82" spans="1:2" ht="16.05" customHeight="1">
      <c r="A82" s="120">
        <v>43664</v>
      </c>
      <c r="B82" s="8">
        <v>3.8100000000000002E-2</v>
      </c>
    </row>
    <row r="83" spans="1:2" ht="16.05" customHeight="1">
      <c r="A83" s="120">
        <v>43671</v>
      </c>
      <c r="B83" s="8">
        <v>3.7499999999999999E-2</v>
      </c>
    </row>
    <row r="84" spans="1:2" ht="16.05" customHeight="1">
      <c r="A84" s="120">
        <v>43678</v>
      </c>
      <c r="B84" s="8">
        <v>3.7499999999999999E-2</v>
      </c>
    </row>
    <row r="85" spans="1:2" ht="16.05" customHeight="1">
      <c r="A85" s="120">
        <v>43685</v>
      </c>
      <c r="B85" s="8">
        <v>3.6000000000000004E-2</v>
      </c>
    </row>
    <row r="86" spans="1:2" ht="16.05" customHeight="1">
      <c r="A86" s="120">
        <v>43692</v>
      </c>
      <c r="B86" s="8">
        <v>3.6000000000000004E-2</v>
      </c>
    </row>
    <row r="87" spans="1:2" ht="16.05" customHeight="1">
      <c r="A87" s="120">
        <v>43699</v>
      </c>
      <c r="B87" s="8">
        <v>3.5499999999999997E-2</v>
      </c>
    </row>
    <row r="88" spans="1:2" ht="16.05" customHeight="1">
      <c r="A88" s="120">
        <v>43706</v>
      </c>
      <c r="B88" s="8">
        <v>3.5799999999999998E-2</v>
      </c>
    </row>
    <row r="89" spans="1:2" ht="16.05" customHeight="1">
      <c r="A89" s="120">
        <v>43713</v>
      </c>
      <c r="B89" s="8">
        <v>3.49E-2</v>
      </c>
    </row>
    <row r="90" spans="1:2" ht="16.05" customHeight="1">
      <c r="A90" s="120">
        <v>43720</v>
      </c>
      <c r="B90" s="8">
        <v>3.56E-2</v>
      </c>
    </row>
    <row r="91" spans="1:2" ht="16.05" customHeight="1">
      <c r="A91" s="120">
        <v>43727</v>
      </c>
      <c r="B91" s="8">
        <v>3.73E-2</v>
      </c>
    </row>
    <row r="92" spans="1:2" ht="16.05" customHeight="1">
      <c r="A92" s="120">
        <v>43734</v>
      </c>
      <c r="B92" s="8">
        <v>3.6400000000000002E-2</v>
      </c>
    </row>
    <row r="93" spans="1:2" ht="16.05" customHeight="1">
      <c r="A93" s="120">
        <v>43741</v>
      </c>
      <c r="B93" s="8">
        <v>3.6499999999999998E-2</v>
      </c>
    </row>
    <row r="94" spans="1:2" ht="16.05" customHeight="1">
      <c r="A94" s="120">
        <v>43748</v>
      </c>
      <c r="B94" s="8">
        <v>3.5699999999999996E-2</v>
      </c>
    </row>
    <row r="95" spans="1:2" ht="16.05" customHeight="1">
      <c r="A95" s="120">
        <v>43755</v>
      </c>
      <c r="B95" s="8">
        <v>3.6900000000000002E-2</v>
      </c>
    </row>
    <row r="96" spans="1:2" ht="16.05" customHeight="1">
      <c r="A96" s="120">
        <v>43762</v>
      </c>
      <c r="B96" s="8">
        <v>3.7499999999999999E-2</v>
      </c>
    </row>
    <row r="97" spans="1:2" ht="16.05" customHeight="1">
      <c r="A97" s="120">
        <v>43769</v>
      </c>
      <c r="B97" s="8">
        <v>3.78E-2</v>
      </c>
    </row>
    <row r="98" spans="1:2" ht="16.05" customHeight="1">
      <c r="A98" s="120">
        <v>43776</v>
      </c>
      <c r="B98" s="8">
        <v>3.6900000000000002E-2</v>
      </c>
    </row>
    <row r="99" spans="1:2" ht="16.05" customHeight="1">
      <c r="A99" s="120">
        <v>43783</v>
      </c>
      <c r="B99" s="8">
        <v>3.7499999999999999E-2</v>
      </c>
    </row>
    <row r="100" spans="1:2" ht="16.05" customHeight="1">
      <c r="A100" s="120">
        <v>43790</v>
      </c>
      <c r="B100" s="8">
        <v>3.6600000000000001E-2</v>
      </c>
    </row>
    <row r="101" spans="1:2" ht="16.05" customHeight="1">
      <c r="A101" s="120">
        <v>43796</v>
      </c>
      <c r="B101" s="8">
        <v>3.6799999999999999E-2</v>
      </c>
    </row>
    <row r="102" spans="1:2" ht="16.05" customHeight="1">
      <c r="A102" s="120">
        <v>43804</v>
      </c>
      <c r="B102" s="8">
        <v>3.6799999999999999E-2</v>
      </c>
    </row>
    <row r="103" spans="1:2" ht="16.05" customHeight="1">
      <c r="A103" s="120">
        <v>43811</v>
      </c>
      <c r="B103" s="8">
        <v>3.73E-2</v>
      </c>
    </row>
    <row r="104" spans="1:2" ht="16.05" customHeight="1">
      <c r="A104" s="120">
        <v>43818</v>
      </c>
      <c r="B104" s="8">
        <v>3.73E-2</v>
      </c>
    </row>
    <row r="105" spans="1:2" ht="16.05" customHeight="1">
      <c r="A105" s="120">
        <v>43825</v>
      </c>
      <c r="B105" s="8">
        <v>3.7400000000000003E-2</v>
      </c>
    </row>
    <row r="106" spans="1:2" ht="16.05" customHeight="1">
      <c r="A106" s="120">
        <v>43832</v>
      </c>
      <c r="B106" s="8">
        <v>3.7200000000000004E-2</v>
      </c>
    </row>
    <row r="107" spans="1:2" ht="16.05" customHeight="1">
      <c r="A107" s="120">
        <v>43839</v>
      </c>
      <c r="B107" s="8">
        <v>3.6400000000000002E-2</v>
      </c>
    </row>
    <row r="108" spans="1:2" ht="16.05" customHeight="1">
      <c r="A108" s="120">
        <v>43846</v>
      </c>
      <c r="B108" s="8">
        <v>3.6499999999999998E-2</v>
      </c>
    </row>
    <row r="109" spans="1:2" ht="16.05" customHeight="1">
      <c r="A109" s="120">
        <v>43853</v>
      </c>
      <c r="B109" s="8">
        <v>3.6000000000000004E-2</v>
      </c>
    </row>
    <row r="110" spans="1:2" ht="16.05" customHeight="1">
      <c r="A110" s="120">
        <v>43860</v>
      </c>
      <c r="B110" s="8">
        <v>3.5099999999999999E-2</v>
      </c>
    </row>
    <row r="111" spans="1:2" ht="16.05" customHeight="1">
      <c r="A111" s="120">
        <v>43867</v>
      </c>
      <c r="B111" s="8">
        <v>3.4500000000000003E-2</v>
      </c>
    </row>
    <row r="112" spans="1:2" ht="16.05" customHeight="1">
      <c r="A112" s="120">
        <v>43874</v>
      </c>
      <c r="B112" s="8">
        <v>3.4700000000000002E-2</v>
      </c>
    </row>
    <row r="113" spans="1:2" ht="16.05" customHeight="1">
      <c r="A113" s="120">
        <v>43881</v>
      </c>
      <c r="B113" s="8">
        <v>3.49E-2</v>
      </c>
    </row>
    <row r="114" spans="1:2" ht="16.05" customHeight="1">
      <c r="A114" s="120">
        <v>43888</v>
      </c>
      <c r="B114" s="8">
        <v>3.4500000000000003E-2</v>
      </c>
    </row>
    <row r="115" spans="1:2" ht="16.05" customHeight="1">
      <c r="A115" s="120">
        <v>43895</v>
      </c>
      <c r="B115" s="8">
        <v>3.2899999999999999E-2</v>
      </c>
    </row>
    <row r="116" spans="1:2" ht="16.05" customHeight="1">
      <c r="A116" s="120">
        <v>43902</v>
      </c>
      <c r="B116" s="8">
        <v>3.3599999999999998E-2</v>
      </c>
    </row>
    <row r="117" spans="1:2" ht="16.05" customHeight="1">
      <c r="A117" s="120">
        <v>43909</v>
      </c>
      <c r="B117" s="8">
        <v>3.6499999999999998E-2</v>
      </c>
    </row>
    <row r="118" spans="1:2" ht="16.05" customHeight="1">
      <c r="A118" s="120">
        <v>43916</v>
      </c>
      <c r="B118" s="8">
        <v>3.5000000000000003E-2</v>
      </c>
    </row>
    <row r="119" spans="1:2" ht="16.05" customHeight="1">
      <c r="A119" s="120">
        <v>43923</v>
      </c>
      <c r="B119" s="8">
        <v>3.3300000000000003E-2</v>
      </c>
    </row>
    <row r="120" spans="1:2" ht="16.05" customHeight="1">
      <c r="A120" s="120">
        <v>43930</v>
      </c>
      <c r="B120" s="8">
        <v>3.3300000000000003E-2</v>
      </c>
    </row>
    <row r="121" spans="1:2" ht="16.05" customHeight="1">
      <c r="A121" s="120">
        <v>43937</v>
      </c>
      <c r="B121" s="8">
        <v>3.3099999999999997E-2</v>
      </c>
    </row>
    <row r="122" spans="1:2" ht="16.05" customHeight="1">
      <c r="A122" s="120">
        <v>43944</v>
      </c>
      <c r="B122" s="8">
        <v>3.3300000000000003E-2</v>
      </c>
    </row>
    <row r="123" spans="1:2" ht="16.05" customHeight="1">
      <c r="A123" s="120">
        <v>43951</v>
      </c>
      <c r="B123" s="8">
        <v>3.2300000000000002E-2</v>
      </c>
    </row>
    <row r="124" spans="1:2" ht="16.05" customHeight="1">
      <c r="A124" s="120">
        <v>43958</v>
      </c>
      <c r="B124" s="8">
        <v>3.2599999999999997E-2</v>
      </c>
    </row>
    <row r="125" spans="1:2" ht="16.05" customHeight="1">
      <c r="A125" s="120">
        <v>43965</v>
      </c>
      <c r="B125" s="8">
        <v>3.2799999999999996E-2</v>
      </c>
    </row>
    <row r="126" spans="1:2" ht="16.05" customHeight="1">
      <c r="A126" s="120">
        <v>43972</v>
      </c>
      <c r="B126" s="8">
        <v>3.2400000000000005E-2</v>
      </c>
    </row>
    <row r="127" spans="1:2" ht="16.05" customHeight="1">
      <c r="A127" s="120">
        <v>43979</v>
      </c>
      <c r="B127" s="8">
        <v>3.15E-2</v>
      </c>
    </row>
    <row r="128" spans="1:2" ht="16.05" customHeight="1">
      <c r="A128" s="120">
        <v>43986</v>
      </c>
      <c r="B128" s="8">
        <v>3.1800000000000002E-2</v>
      </c>
    </row>
    <row r="129" spans="1:2" ht="16.05" customHeight="1">
      <c r="A129" s="120">
        <v>43993</v>
      </c>
      <c r="B129" s="8">
        <v>3.2099999999999997E-2</v>
      </c>
    </row>
    <row r="130" spans="1:2" ht="16.05" customHeight="1">
      <c r="A130" s="120">
        <v>44000</v>
      </c>
      <c r="B130" s="8">
        <v>3.1300000000000001E-2</v>
      </c>
    </row>
    <row r="131" spans="1:2" ht="16.05" customHeight="1">
      <c r="A131" s="120">
        <v>44007</v>
      </c>
      <c r="B131" s="8">
        <v>3.1300000000000001E-2</v>
      </c>
    </row>
    <row r="132" spans="1:2" ht="16.05" customHeight="1">
      <c r="A132" s="120">
        <v>44014</v>
      </c>
      <c r="B132" s="8">
        <v>3.0699999999999998E-2</v>
      </c>
    </row>
    <row r="133" spans="1:2" ht="16.05" customHeight="1">
      <c r="A133" s="120">
        <v>44021</v>
      </c>
      <c r="B133" s="8">
        <v>3.0299999999999997E-2</v>
      </c>
    </row>
    <row r="134" spans="1:2" ht="16.05" customHeight="1">
      <c r="A134" s="120">
        <v>44028</v>
      </c>
      <c r="B134" s="8">
        <v>2.98E-2</v>
      </c>
    </row>
    <row r="135" spans="1:2" ht="16.05" customHeight="1">
      <c r="A135" s="120">
        <v>44035</v>
      </c>
      <c r="B135" s="8">
        <v>3.0099999999999998E-2</v>
      </c>
    </row>
    <row r="136" spans="1:2" ht="16.05" customHeight="1">
      <c r="A136" s="120">
        <v>44042</v>
      </c>
      <c r="B136" s="8">
        <v>2.9900000000000003E-2</v>
      </c>
    </row>
    <row r="137" spans="1:2" ht="16.05" customHeight="1">
      <c r="A137" s="120">
        <v>44049</v>
      </c>
      <c r="B137" s="8">
        <v>2.8799999999999999E-2</v>
      </c>
    </row>
    <row r="138" spans="1:2" ht="16.05" customHeight="1">
      <c r="A138" s="120">
        <v>44056</v>
      </c>
      <c r="B138" s="8">
        <v>2.9600000000000001E-2</v>
      </c>
    </row>
    <row r="139" spans="1:2" ht="16.05" customHeight="1">
      <c r="A139" s="120">
        <v>44063</v>
      </c>
      <c r="B139" s="8">
        <v>2.9900000000000003E-2</v>
      </c>
    </row>
    <row r="140" spans="1:2" ht="16.05" customHeight="1">
      <c r="A140" s="120">
        <v>44070</v>
      </c>
      <c r="B140" s="8">
        <v>2.9100000000000001E-2</v>
      </c>
    </row>
    <row r="141" spans="1:2" ht="16.05" customHeight="1">
      <c r="A141" s="120">
        <v>44077</v>
      </c>
      <c r="B141" s="8">
        <v>2.9300000000000003E-2</v>
      </c>
    </row>
    <row r="142" spans="1:2" ht="16.05" customHeight="1">
      <c r="A142" s="120">
        <v>44084</v>
      </c>
      <c r="B142" s="8">
        <v>2.86E-2</v>
      </c>
    </row>
    <row r="143" spans="1:2" ht="16.05" customHeight="1">
      <c r="A143" s="120">
        <v>44091</v>
      </c>
      <c r="B143" s="8">
        <v>2.87E-2</v>
      </c>
    </row>
    <row r="144" spans="1:2" ht="16.05" customHeight="1">
      <c r="A144" s="120">
        <v>44098</v>
      </c>
      <c r="B144" s="8">
        <v>2.8999999999999998E-2</v>
      </c>
    </row>
    <row r="145" spans="1:2" ht="16.05" customHeight="1">
      <c r="A145" s="120">
        <v>44105</v>
      </c>
      <c r="B145" s="8">
        <v>2.8799999999999999E-2</v>
      </c>
    </row>
    <row r="146" spans="1:2" ht="16.05" customHeight="1">
      <c r="A146" s="120">
        <v>44112</v>
      </c>
      <c r="B146" s="8">
        <v>2.87E-2</v>
      </c>
    </row>
    <row r="147" spans="1:2" ht="16.05" customHeight="1">
      <c r="A147" s="120">
        <v>44119</v>
      </c>
      <c r="B147" s="8">
        <v>2.81E-2</v>
      </c>
    </row>
    <row r="148" spans="1:2" ht="16.05" customHeight="1">
      <c r="A148" s="120">
        <v>44126</v>
      </c>
      <c r="B148" s="8">
        <v>2.7999999999999997E-2</v>
      </c>
    </row>
    <row r="149" spans="1:2" ht="16.05" customHeight="1">
      <c r="A149" s="120">
        <v>44133</v>
      </c>
      <c r="B149" s="8">
        <v>2.81E-2</v>
      </c>
    </row>
    <row r="150" spans="1:2" ht="16.05" customHeight="1">
      <c r="A150" s="120">
        <v>44140</v>
      </c>
      <c r="B150" s="8">
        <v>2.7799999999999998E-2</v>
      </c>
    </row>
    <row r="151" spans="1:2" ht="16.05" customHeight="1">
      <c r="A151" s="120">
        <v>44147</v>
      </c>
      <c r="B151" s="8">
        <v>2.8399999999999998E-2</v>
      </c>
    </row>
    <row r="152" spans="1:2" ht="16.05" customHeight="1">
      <c r="A152" s="120">
        <v>44154</v>
      </c>
      <c r="B152" s="8">
        <v>2.7200000000000002E-2</v>
      </c>
    </row>
    <row r="153" spans="1:2" ht="16.05" customHeight="1">
      <c r="A153" s="120">
        <v>44160</v>
      </c>
      <c r="B153" s="8">
        <v>2.7200000000000002E-2</v>
      </c>
    </row>
    <row r="154" spans="1:2" ht="16.05" customHeight="1">
      <c r="A154" s="120">
        <v>44168</v>
      </c>
      <c r="B154" s="8">
        <v>2.7099999999999999E-2</v>
      </c>
    </row>
    <row r="155" spans="1:2" ht="16.05" customHeight="1">
      <c r="A155" s="120">
        <v>44175</v>
      </c>
      <c r="B155" s="8">
        <v>2.7099999999999999E-2</v>
      </c>
    </row>
    <row r="156" spans="1:2" ht="16.05" customHeight="1">
      <c r="A156" s="120">
        <v>44182</v>
      </c>
      <c r="B156" s="8">
        <v>2.6699999999999998E-2</v>
      </c>
    </row>
    <row r="157" spans="1:2" ht="16.05" customHeight="1">
      <c r="A157" s="120">
        <v>44189</v>
      </c>
      <c r="B157" s="8">
        <v>2.6600000000000002E-2</v>
      </c>
    </row>
    <row r="158" spans="1:2" ht="16.05" customHeight="1">
      <c r="A158" s="120">
        <v>44196</v>
      </c>
      <c r="B158" s="8">
        <v>2.6699999999999998E-2</v>
      </c>
    </row>
    <row r="159" spans="1:2" ht="16.05" customHeight="1">
      <c r="A159" s="120">
        <v>44203</v>
      </c>
      <c r="B159" s="8">
        <v>2.6499999999999999E-2</v>
      </c>
    </row>
    <row r="160" spans="1:2" ht="16.05" customHeight="1">
      <c r="A160" s="120">
        <v>44210</v>
      </c>
      <c r="B160" s="8">
        <v>2.7900000000000001E-2</v>
      </c>
    </row>
    <row r="161" spans="1:2" ht="16.05" customHeight="1">
      <c r="A161" s="120">
        <v>44217</v>
      </c>
      <c r="B161" s="8">
        <v>2.7699999999999999E-2</v>
      </c>
    </row>
    <row r="162" spans="1:2" ht="16.05" customHeight="1">
      <c r="A162" s="120">
        <v>44224</v>
      </c>
      <c r="B162" s="8">
        <v>2.7300000000000001E-2</v>
      </c>
    </row>
    <row r="163" spans="1:2" ht="16.05" customHeight="1">
      <c r="A163" s="120">
        <v>44231</v>
      </c>
      <c r="B163" s="8">
        <v>2.7300000000000001E-2</v>
      </c>
    </row>
    <row r="164" spans="1:2" ht="16.05" customHeight="1">
      <c r="A164" s="120">
        <v>44238</v>
      </c>
      <c r="B164" s="8">
        <v>2.7300000000000001E-2</v>
      </c>
    </row>
    <row r="165" spans="1:2" ht="16.05" customHeight="1">
      <c r="A165" s="120">
        <v>44245</v>
      </c>
      <c r="B165" s="8">
        <v>2.81E-2</v>
      </c>
    </row>
    <row r="166" spans="1:2" ht="16.05" customHeight="1">
      <c r="A166" s="120">
        <v>44252</v>
      </c>
      <c r="B166" s="8">
        <v>2.9700000000000001E-2</v>
      </c>
    </row>
    <row r="167" spans="1:2" ht="16.05" customHeight="1">
      <c r="A167" s="120">
        <v>44259</v>
      </c>
      <c r="B167" s="8">
        <v>3.0200000000000001E-2</v>
      </c>
    </row>
    <row r="168" spans="1:2" ht="16.05" customHeight="1">
      <c r="A168" s="120">
        <v>44266</v>
      </c>
      <c r="B168" s="8">
        <v>3.0499999999999999E-2</v>
      </c>
    </row>
    <row r="169" spans="1:2" ht="16.05" customHeight="1">
      <c r="A169" s="120">
        <v>44273</v>
      </c>
      <c r="B169" s="8">
        <v>3.0899999999999997E-2</v>
      </c>
    </row>
    <row r="170" spans="1:2" ht="16.05" customHeight="1">
      <c r="A170" s="120">
        <v>44280</v>
      </c>
      <c r="B170" s="8">
        <v>3.1699999999999999E-2</v>
      </c>
    </row>
    <row r="171" spans="1:2" ht="16.05" customHeight="1">
      <c r="A171" s="120">
        <v>44287</v>
      </c>
      <c r="B171" s="8">
        <v>3.1800000000000002E-2</v>
      </c>
    </row>
    <row r="172" spans="1:2" ht="16.05" customHeight="1">
      <c r="A172" s="120">
        <v>44294</v>
      </c>
      <c r="B172" s="8">
        <v>3.1300000000000001E-2</v>
      </c>
    </row>
    <row r="173" spans="1:2" ht="16.05" customHeight="1">
      <c r="A173" s="120">
        <v>44301</v>
      </c>
      <c r="B173" s="8">
        <v>3.04E-2</v>
      </c>
    </row>
    <row r="174" spans="1:2" ht="16.05" customHeight="1">
      <c r="A174" s="120">
        <v>44308</v>
      </c>
      <c r="B174" s="8">
        <v>2.9700000000000001E-2</v>
      </c>
    </row>
    <row r="175" spans="1:2" ht="16.05" customHeight="1">
      <c r="A175" s="120">
        <v>44315</v>
      </c>
      <c r="B175" s="8">
        <v>2.98E-2</v>
      </c>
    </row>
    <row r="176" spans="1:2" ht="16.05" customHeight="1">
      <c r="A176" s="120">
        <v>44322</v>
      </c>
      <c r="B176" s="8">
        <v>2.9600000000000001E-2</v>
      </c>
    </row>
    <row r="177" spans="1:2" ht="16.05" customHeight="1">
      <c r="A177" s="120">
        <v>44329</v>
      </c>
      <c r="B177" s="8">
        <v>2.9399999999999999E-2</v>
      </c>
    </row>
    <row r="178" spans="1:2" ht="16.05" customHeight="1">
      <c r="A178" s="120">
        <v>44336</v>
      </c>
      <c r="B178" s="8">
        <v>0.03</v>
      </c>
    </row>
    <row r="179" spans="1:2" ht="16.05" customHeight="1">
      <c r="A179" s="120">
        <v>44343</v>
      </c>
      <c r="B179" s="8">
        <v>2.9500000000000002E-2</v>
      </c>
    </row>
    <row r="180" spans="1:2" ht="16.05" customHeight="1">
      <c r="A180" s="120">
        <v>44350</v>
      </c>
      <c r="B180" s="8">
        <v>2.9900000000000003E-2</v>
      </c>
    </row>
    <row r="181" spans="1:2" ht="16.05" customHeight="1">
      <c r="A181" s="120">
        <v>44357</v>
      </c>
      <c r="B181" s="8">
        <v>2.9600000000000001E-2</v>
      </c>
    </row>
    <row r="182" spans="1:2" ht="16.05" customHeight="1">
      <c r="A182" s="120">
        <v>44364</v>
      </c>
      <c r="B182" s="8">
        <v>2.9300000000000003E-2</v>
      </c>
    </row>
    <row r="183" spans="1:2" ht="16.05" customHeight="1">
      <c r="A183" s="120">
        <v>44371</v>
      </c>
      <c r="B183" s="8">
        <v>3.0200000000000001E-2</v>
      </c>
    </row>
    <row r="184" spans="1:2" ht="16.05" customHeight="1">
      <c r="A184" s="120">
        <v>44378</v>
      </c>
      <c r="B184" s="8">
        <v>2.98E-2</v>
      </c>
    </row>
    <row r="185" spans="1:2" ht="16.05" customHeight="1">
      <c r="A185" s="120">
        <v>44385</v>
      </c>
      <c r="B185" s="8">
        <v>2.8999999999999998E-2</v>
      </c>
    </row>
    <row r="186" spans="1:2" ht="16.05" customHeight="1">
      <c r="A186" s="120">
        <v>44392</v>
      </c>
      <c r="B186" s="8">
        <v>2.8799999999999999E-2</v>
      </c>
    </row>
    <row r="187" spans="1:2" ht="16.05" customHeight="1">
      <c r="A187" s="120">
        <v>44399</v>
      </c>
      <c r="B187" s="8">
        <v>2.7799999999999998E-2</v>
      </c>
    </row>
    <row r="188" spans="1:2" ht="16.05" customHeight="1">
      <c r="A188" s="120">
        <v>44406</v>
      </c>
      <c r="B188" s="8">
        <v>2.7999999999999997E-2</v>
      </c>
    </row>
    <row r="189" spans="1:2" ht="16.05" customHeight="1">
      <c r="A189" s="120">
        <v>44413</v>
      </c>
      <c r="B189" s="8">
        <v>2.7699999999999999E-2</v>
      </c>
    </row>
    <row r="190" spans="1:2" ht="16.05" customHeight="1">
      <c r="A190" s="120">
        <v>44420</v>
      </c>
      <c r="B190" s="8">
        <v>2.87E-2</v>
      </c>
    </row>
    <row r="191" spans="1:2" ht="16.05" customHeight="1">
      <c r="A191" s="120">
        <v>44427</v>
      </c>
      <c r="B191" s="8">
        <v>2.86E-2</v>
      </c>
    </row>
    <row r="192" spans="1:2" ht="16.05" customHeight="1">
      <c r="A192" s="120">
        <v>44434</v>
      </c>
      <c r="B192" s="8">
        <v>2.87E-2</v>
      </c>
    </row>
    <row r="193" spans="1:2" ht="16.05" customHeight="1">
      <c r="A193" s="120">
        <v>44441</v>
      </c>
      <c r="B193" s="8">
        <v>2.87E-2</v>
      </c>
    </row>
    <row r="194" spans="1:2" ht="16.05" customHeight="1">
      <c r="A194" s="120">
        <v>44448</v>
      </c>
      <c r="B194" s="8">
        <v>2.8799999999999999E-2</v>
      </c>
    </row>
    <row r="195" spans="1:2" ht="16.05" customHeight="1">
      <c r="A195" s="120">
        <v>44455</v>
      </c>
      <c r="B195" s="8">
        <v>2.86E-2</v>
      </c>
    </row>
    <row r="196" spans="1:2" ht="16.05" customHeight="1">
      <c r="A196" s="120">
        <v>44462</v>
      </c>
      <c r="B196" s="8">
        <v>2.8799999999999999E-2</v>
      </c>
    </row>
    <row r="197" spans="1:2" ht="16.05" customHeight="1">
      <c r="A197" s="120">
        <v>44469</v>
      </c>
      <c r="B197" s="8">
        <v>3.0099999999999998E-2</v>
      </c>
    </row>
    <row r="198" spans="1:2" ht="16.05" customHeight="1">
      <c r="A198" s="120">
        <v>44476</v>
      </c>
      <c r="B198" s="8">
        <v>2.9900000000000003E-2</v>
      </c>
    </row>
    <row r="199" spans="1:2" ht="16.05" customHeight="1">
      <c r="A199" s="120">
        <v>44483</v>
      </c>
      <c r="B199" s="8">
        <v>3.0499999999999999E-2</v>
      </c>
    </row>
    <row r="200" spans="1:2" ht="16.05" customHeight="1">
      <c r="A200" s="120">
        <v>44490</v>
      </c>
      <c r="B200" s="8">
        <v>3.0899999999999997E-2</v>
      </c>
    </row>
    <row r="201" spans="1:2" ht="16.05" customHeight="1">
      <c r="A201" s="120">
        <v>44497</v>
      </c>
      <c r="B201" s="8">
        <v>3.1400000000000004E-2</v>
      </c>
    </row>
    <row r="202" spans="1:2" ht="16.05" customHeight="1">
      <c r="A202" s="120">
        <v>44504</v>
      </c>
      <c r="B202" s="8">
        <v>3.0899999999999997E-2</v>
      </c>
    </row>
    <row r="203" spans="1:2" ht="16.05" customHeight="1">
      <c r="A203" s="120">
        <v>44510</v>
      </c>
      <c r="B203" s="8">
        <v>2.98E-2</v>
      </c>
    </row>
    <row r="204" spans="1:2" ht="16.05" customHeight="1">
      <c r="A204" s="120">
        <v>44518</v>
      </c>
      <c r="B204" s="8">
        <v>3.1E-2</v>
      </c>
    </row>
    <row r="205" spans="1:2" ht="16.05" customHeight="1">
      <c r="A205" s="120">
        <v>44524</v>
      </c>
      <c r="B205" s="8">
        <v>3.1E-2</v>
      </c>
    </row>
    <row r="206" spans="1:2" ht="16.05" customHeight="1">
      <c r="A206" s="120">
        <v>44532</v>
      </c>
      <c r="B206" s="8">
        <v>3.1099999999999999E-2</v>
      </c>
    </row>
    <row r="207" spans="1:2" ht="16.05" customHeight="1">
      <c r="A207" s="120">
        <v>44539</v>
      </c>
      <c r="B207" s="8">
        <v>3.1E-2</v>
      </c>
    </row>
    <row r="208" spans="1:2" ht="16.05" customHeight="1">
      <c r="A208" s="120">
        <v>44546</v>
      </c>
      <c r="B208" s="8">
        <v>3.1200000000000002E-2</v>
      </c>
    </row>
    <row r="209" spans="1:2" ht="16.05" customHeight="1">
      <c r="A209" s="120">
        <v>44553</v>
      </c>
      <c r="B209" s="8">
        <v>3.0499999999999999E-2</v>
      </c>
    </row>
    <row r="210" spans="1:2" ht="16.05" customHeight="1">
      <c r="A210" s="120">
        <v>44560</v>
      </c>
      <c r="B210" s="8">
        <v>3.1099999999999999E-2</v>
      </c>
    </row>
    <row r="211" spans="1:2" ht="16.05" customHeight="1">
      <c r="A211" s="120">
        <v>44567</v>
      </c>
      <c r="B211" s="8">
        <v>3.2199999999999999E-2</v>
      </c>
    </row>
    <row r="212" spans="1:2" ht="16.05" customHeight="1">
      <c r="A212" s="120">
        <v>44574</v>
      </c>
      <c r="B212" s="8">
        <v>3.4500000000000003E-2</v>
      </c>
    </row>
    <row r="213" spans="1:2" ht="16.05" customHeight="1">
      <c r="A213" s="120">
        <v>44581</v>
      </c>
      <c r="B213" s="8">
        <v>3.56E-2</v>
      </c>
    </row>
    <row r="214" spans="1:2" ht="16.05" customHeight="1">
      <c r="A214" s="120">
        <v>44588</v>
      </c>
      <c r="B214" s="8">
        <v>3.5499999999999997E-2</v>
      </c>
    </row>
    <row r="215" spans="1:2" ht="16.05" customHeight="1">
      <c r="A215" s="120">
        <v>44595</v>
      </c>
      <c r="B215" s="8">
        <v>3.5499999999999997E-2</v>
      </c>
    </row>
    <row r="216" spans="1:2" ht="16.05" customHeight="1">
      <c r="A216" s="120">
        <v>44602</v>
      </c>
      <c r="B216" s="8">
        <v>3.6900000000000002E-2</v>
      </c>
    </row>
    <row r="217" spans="1:2" ht="16.05" customHeight="1">
      <c r="A217" s="120">
        <v>44609</v>
      </c>
      <c r="B217" s="8">
        <v>3.9199999999999999E-2</v>
      </c>
    </row>
    <row r="218" spans="1:2" ht="16.05" customHeight="1">
      <c r="A218" s="120">
        <v>44616</v>
      </c>
      <c r="B218" s="8">
        <v>3.8900000000000004E-2</v>
      </c>
    </row>
    <row r="219" spans="1:2" ht="16.05" customHeight="1">
      <c r="A219" s="120">
        <v>44623</v>
      </c>
      <c r="B219" s="8">
        <v>3.7599999999999995E-2</v>
      </c>
    </row>
    <row r="220" spans="1:2" ht="16.05" customHeight="1">
      <c r="A220" s="120">
        <v>44630</v>
      </c>
      <c r="B220" s="8">
        <v>3.85E-2</v>
      </c>
    </row>
    <row r="221" spans="1:2" ht="16.05" customHeight="1">
      <c r="A221" s="120">
        <v>44637</v>
      </c>
      <c r="B221" s="8">
        <v>4.1599999999999998E-2</v>
      </c>
    </row>
    <row r="222" spans="1:2" ht="16.05" customHeight="1">
      <c r="A222" s="120">
        <v>44644</v>
      </c>
      <c r="B222" s="8">
        <v>4.4199999999999996E-2</v>
      </c>
    </row>
    <row r="223" spans="1:2" ht="16.05" customHeight="1">
      <c r="A223" s="120">
        <v>44651</v>
      </c>
      <c r="B223" s="8">
        <v>4.6699999999999998E-2</v>
      </c>
    </row>
    <row r="224" spans="1:2" ht="16.05" customHeight="1">
      <c r="A224" s="120">
        <v>44658</v>
      </c>
      <c r="B224" s="8">
        <v>4.7199999999999999E-2</v>
      </c>
    </row>
    <row r="225" spans="1:2" ht="16.05" customHeight="1">
      <c r="A225" s="120">
        <v>44665</v>
      </c>
      <c r="B225" s="8">
        <v>0.05</v>
      </c>
    </row>
    <row r="226" spans="1:2" ht="16.05" customHeight="1">
      <c r="A226" s="120">
        <v>44672</v>
      </c>
      <c r="B226" s="8">
        <v>5.1100000000000007E-2</v>
      </c>
    </row>
    <row r="227" spans="1:2" ht="16.05" customHeight="1">
      <c r="A227" s="120">
        <v>44679</v>
      </c>
      <c r="B227" s="8">
        <v>5.0999999999999997E-2</v>
      </c>
    </row>
    <row r="228" spans="1:2" ht="16.05" customHeight="1">
      <c r="A228" s="120">
        <v>44686</v>
      </c>
      <c r="B228" s="8">
        <v>5.2699999999999997E-2</v>
      </c>
    </row>
    <row r="229" spans="1:2" ht="16.05" customHeight="1">
      <c r="A229" s="120">
        <v>44693</v>
      </c>
      <c r="B229" s="8">
        <v>5.2999999999999999E-2</v>
      </c>
    </row>
    <row r="230" spans="1:2" ht="16.05" customHeight="1">
      <c r="A230" s="120">
        <v>44700</v>
      </c>
      <c r="B230" s="8">
        <v>5.2499999999999998E-2</v>
      </c>
    </row>
    <row r="231" spans="1:2" ht="16.05" customHeight="1">
      <c r="A231" s="120">
        <v>44707</v>
      </c>
      <c r="B231" s="8">
        <v>5.0999999999999997E-2</v>
      </c>
    </row>
    <row r="232" spans="1:2" ht="16.05" customHeight="1">
      <c r="A232" s="120">
        <v>44714</v>
      </c>
      <c r="B232" s="8">
        <v>5.0900000000000001E-2</v>
      </c>
    </row>
    <row r="233" spans="1:2" ht="16.05" customHeight="1">
      <c r="A233" s="120">
        <v>44721</v>
      </c>
      <c r="B233" s="8">
        <v>5.2300000000000006E-2</v>
      </c>
    </row>
    <row r="234" spans="1:2" ht="16.05" customHeight="1">
      <c r="A234" s="120">
        <v>44728</v>
      </c>
      <c r="B234" s="8">
        <v>5.7800000000000004E-2</v>
      </c>
    </row>
    <row r="235" spans="1:2" ht="16.05" customHeight="1">
      <c r="A235" s="120">
        <v>44735</v>
      </c>
      <c r="B235" s="8">
        <v>5.8099999999999999E-2</v>
      </c>
    </row>
    <row r="236" spans="1:2" ht="16.05" customHeight="1">
      <c r="A236" s="120">
        <v>44742</v>
      </c>
      <c r="B236" s="8">
        <v>5.7000000000000002E-2</v>
      </c>
    </row>
    <row r="237" spans="1:2" ht="16.05" customHeight="1">
      <c r="A237" s="120">
        <v>44749</v>
      </c>
      <c r="B237" s="8">
        <v>5.2999999999999999E-2</v>
      </c>
    </row>
    <row r="238" spans="1:2" ht="16.05" customHeight="1">
      <c r="A238" s="120">
        <v>44756</v>
      </c>
      <c r="B238" s="8">
        <v>5.5099999999999996E-2</v>
      </c>
    </row>
    <row r="239" spans="1:2" ht="16.05" customHeight="1">
      <c r="A239" s="120">
        <v>44763</v>
      </c>
      <c r="B239" s="8">
        <v>5.5399999999999998E-2</v>
      </c>
    </row>
    <row r="240" spans="1:2" ht="16.05" customHeight="1">
      <c r="A240" s="120">
        <v>44770</v>
      </c>
      <c r="B240" s="8">
        <v>5.2999999999999999E-2</v>
      </c>
    </row>
    <row r="241" spans="1:2" ht="16.05" customHeight="1">
      <c r="A241" s="120">
        <v>44777</v>
      </c>
      <c r="B241" s="8">
        <v>4.99E-2</v>
      </c>
    </row>
    <row r="242" spans="1:2" ht="16.05" customHeight="1">
      <c r="A242" s="120">
        <v>44784</v>
      </c>
      <c r="B242" s="8">
        <v>5.2199999999999996E-2</v>
      </c>
    </row>
    <row r="243" spans="1:2" ht="16.05" customHeight="1">
      <c r="A243" s="120">
        <v>44791</v>
      </c>
      <c r="B243" s="8">
        <v>5.1299999999999998E-2</v>
      </c>
    </row>
    <row r="244" spans="1:2" ht="16.05" customHeight="1">
      <c r="A244" s="120">
        <v>44798</v>
      </c>
      <c r="B244" s="8">
        <v>5.5500000000000001E-2</v>
      </c>
    </row>
    <row r="245" spans="1:2" ht="16.05" customHeight="1">
      <c r="A245" s="120">
        <v>44805</v>
      </c>
      <c r="B245" s="8">
        <v>5.6600000000000004E-2</v>
      </c>
    </row>
    <row r="246" spans="1:2" ht="16.05" customHeight="1">
      <c r="A246" s="120">
        <v>44812</v>
      </c>
      <c r="B246" s="8">
        <v>5.8899999999999994E-2</v>
      </c>
    </row>
    <row r="247" spans="1:2" ht="16.05" customHeight="1">
      <c r="A247" s="120">
        <v>44819</v>
      </c>
      <c r="B247" s="8">
        <v>6.0199999999999997E-2</v>
      </c>
    </row>
    <row r="248" spans="1:2" ht="16.05" customHeight="1">
      <c r="A248" s="120">
        <v>44826</v>
      </c>
      <c r="B248" s="8">
        <v>6.2899999999999998E-2</v>
      </c>
    </row>
    <row r="249" spans="1:2" ht="16.05" customHeight="1">
      <c r="A249" s="120">
        <v>44833</v>
      </c>
      <c r="B249" s="8">
        <v>6.7000000000000004E-2</v>
      </c>
    </row>
    <row r="250" spans="1:2" ht="16.05" customHeight="1">
      <c r="A250" s="120">
        <v>44840</v>
      </c>
      <c r="B250" s="8">
        <v>6.6600000000000006E-2</v>
      </c>
    </row>
    <row r="251" spans="1:2" ht="16.05" customHeight="1">
      <c r="A251" s="120">
        <v>44847</v>
      </c>
      <c r="B251" s="8">
        <v>6.9199999999999998E-2</v>
      </c>
    </row>
    <row r="252" spans="1:2" ht="16.05" customHeight="1">
      <c r="A252" s="120">
        <v>44854</v>
      </c>
      <c r="B252" s="8">
        <v>6.9400000000000003E-2</v>
      </c>
    </row>
    <row r="253" spans="1:2" ht="16.05" customHeight="1">
      <c r="A253" s="120">
        <v>44861</v>
      </c>
      <c r="B253" s="8">
        <v>7.0800000000000002E-2</v>
      </c>
    </row>
    <row r="254" spans="1:2" ht="16.05" customHeight="1">
      <c r="A254" s="120">
        <v>44868</v>
      </c>
      <c r="B254" s="8">
        <v>6.9500000000000006E-2</v>
      </c>
    </row>
    <row r="255" spans="1:2" ht="16.05" customHeight="1">
      <c r="A255" s="120">
        <v>44875</v>
      </c>
      <c r="B255" s="8">
        <v>7.0800000000000002E-2</v>
      </c>
    </row>
    <row r="256" spans="1:2" ht="16.05" customHeight="1">
      <c r="A256" s="120">
        <v>44882</v>
      </c>
      <c r="B256" s="8">
        <v>6.6100000000000006E-2</v>
      </c>
    </row>
    <row r="257" spans="1:2" ht="16.05" customHeight="1">
      <c r="A257" s="120">
        <v>44888</v>
      </c>
      <c r="B257" s="8">
        <v>6.5799999999999997E-2</v>
      </c>
    </row>
    <row r="258" spans="1:2" ht="16.05" customHeight="1">
      <c r="A258" s="120">
        <v>44896</v>
      </c>
      <c r="B258" s="8">
        <v>6.4899999999999999E-2</v>
      </c>
    </row>
    <row r="259" spans="1:2" ht="16.05" customHeight="1">
      <c r="A259" s="120">
        <v>44903</v>
      </c>
      <c r="B259" s="8">
        <v>6.3299999999999995E-2</v>
      </c>
    </row>
    <row r="260" spans="1:2" ht="16.05" customHeight="1">
      <c r="A260" s="120">
        <v>44910</v>
      </c>
      <c r="B260" s="8">
        <v>6.3099999999999989E-2</v>
      </c>
    </row>
    <row r="261" spans="1:2" ht="16.05" customHeight="1">
      <c r="A261" s="120">
        <v>44917</v>
      </c>
      <c r="B261" s="8">
        <v>6.2699999999999992E-2</v>
      </c>
    </row>
    <row r="262" spans="1:2" ht="16.05" customHeight="1">
      <c r="A262" s="120">
        <v>44924</v>
      </c>
      <c r="B262" s="8">
        <v>6.4199999999999993E-2</v>
      </c>
    </row>
    <row r="263" spans="1:2" ht="16.05" customHeight="1">
      <c r="A263" s="120">
        <v>44931</v>
      </c>
      <c r="B263" s="8">
        <v>6.480000000000001E-2</v>
      </c>
    </row>
    <row r="264" spans="1:2" ht="16.05" customHeight="1">
      <c r="A264" s="120">
        <v>44938</v>
      </c>
      <c r="B264" s="8">
        <v>6.3299999999999995E-2</v>
      </c>
    </row>
    <row r="265" spans="1:2" ht="16.05" customHeight="1">
      <c r="A265" s="120">
        <v>44945</v>
      </c>
      <c r="B265" s="8">
        <v>6.1500000000000006E-2</v>
      </c>
    </row>
    <row r="266" spans="1:2" ht="16.05" customHeight="1">
      <c r="A266" s="120">
        <v>44952</v>
      </c>
      <c r="B266" s="8">
        <v>6.13E-2</v>
      </c>
    </row>
    <row r="267" spans="1:2" ht="16.05" customHeight="1">
      <c r="A267" s="120">
        <v>44959</v>
      </c>
      <c r="B267" s="8">
        <v>6.0899999999999996E-2</v>
      </c>
    </row>
    <row r="268" spans="1:2" ht="16.05" customHeight="1">
      <c r="A268" s="120">
        <v>44966</v>
      </c>
      <c r="B268" s="8">
        <v>6.1200000000000004E-2</v>
      </c>
    </row>
    <row r="269" spans="1:2" ht="16.05" customHeight="1">
      <c r="A269" s="120">
        <v>44973</v>
      </c>
      <c r="B269" s="8">
        <v>6.3200000000000006E-2</v>
      </c>
    </row>
    <row r="270" spans="1:2" ht="16.05" customHeight="1">
      <c r="A270" s="120">
        <v>44980</v>
      </c>
      <c r="B270" s="8">
        <v>6.5000000000000002E-2</v>
      </c>
    </row>
    <row r="271" spans="1:2" ht="16.05" customHeight="1">
      <c r="A271" s="120">
        <v>44987</v>
      </c>
      <c r="B271" s="8">
        <v>6.6500000000000004E-2</v>
      </c>
    </row>
    <row r="272" spans="1:2" ht="16.05" customHeight="1">
      <c r="A272" s="120">
        <v>44994</v>
      </c>
      <c r="B272" s="8">
        <v>6.7299999999999999E-2</v>
      </c>
    </row>
    <row r="273" spans="1:2" ht="16.05" customHeight="1">
      <c r="A273" s="120">
        <v>45001</v>
      </c>
      <c r="B273" s="8">
        <v>6.6000000000000003E-2</v>
      </c>
    </row>
    <row r="274" spans="1:2" ht="16.05" customHeight="1">
      <c r="A274" s="120">
        <v>45008</v>
      </c>
      <c r="B274" s="8">
        <v>6.4199999999999993E-2</v>
      </c>
    </row>
    <row r="275" spans="1:2" ht="16.05" customHeight="1">
      <c r="A275" s="120">
        <v>45015</v>
      </c>
      <c r="B275" s="8">
        <v>6.3200000000000006E-2</v>
      </c>
    </row>
    <row r="276" spans="1:2" ht="16.05" customHeight="1">
      <c r="A276" s="120">
        <v>45022</v>
      </c>
      <c r="B276" s="8">
        <v>6.2800000000000009E-2</v>
      </c>
    </row>
    <row r="277" spans="1:2" ht="16.05" customHeight="1">
      <c r="A277" s="120">
        <v>45029</v>
      </c>
      <c r="B277" s="8">
        <v>6.2699999999999992E-2</v>
      </c>
    </row>
    <row r="278" spans="1:2" ht="16.05" customHeight="1">
      <c r="A278" s="120">
        <v>45036</v>
      </c>
      <c r="B278" s="8">
        <v>6.3899999999999998E-2</v>
      </c>
    </row>
    <row r="279" spans="1:2" ht="16.05" customHeight="1">
      <c r="A279" s="120">
        <v>45043</v>
      </c>
      <c r="B279" s="8">
        <v>6.4299999999999996E-2</v>
      </c>
    </row>
    <row r="280" spans="1:2" ht="16.05" customHeight="1">
      <c r="A280" s="120">
        <v>45050</v>
      </c>
      <c r="B280" s="8">
        <v>6.3899999999999998E-2</v>
      </c>
    </row>
    <row r="281" spans="1:2" ht="16.05" customHeight="1">
      <c r="A281" s="120">
        <v>45057</v>
      </c>
      <c r="B281" s="8">
        <v>6.3500000000000001E-2</v>
      </c>
    </row>
    <row r="282" spans="1:2" ht="16.05" customHeight="1">
      <c r="A282" s="120">
        <v>45064</v>
      </c>
      <c r="B282" s="8">
        <v>6.3899999999999998E-2</v>
      </c>
    </row>
    <row r="283" spans="1:2" ht="16.05" customHeight="1">
      <c r="A283" s="120">
        <v>45071</v>
      </c>
      <c r="B283" s="8">
        <v>6.5700000000000008E-2</v>
      </c>
    </row>
    <row r="284" spans="1:2" ht="16.05" customHeight="1">
      <c r="A284" s="120">
        <v>45078</v>
      </c>
      <c r="B284" s="8">
        <v>6.7900000000000002E-2</v>
      </c>
    </row>
    <row r="285" spans="1:2" ht="16.05" customHeight="1">
      <c r="A285" s="120">
        <v>45085</v>
      </c>
      <c r="B285" s="8">
        <v>6.7099999999999993E-2</v>
      </c>
    </row>
    <row r="286" spans="1:2" ht="16.05" customHeight="1">
      <c r="A286" s="120">
        <v>45092</v>
      </c>
      <c r="B286" s="8">
        <v>6.6900000000000001E-2</v>
      </c>
    </row>
    <row r="287" spans="1:2" ht="16.05" customHeight="1">
      <c r="A287" s="120">
        <v>45099</v>
      </c>
      <c r="B287" s="8">
        <v>6.6699999999999995E-2</v>
      </c>
    </row>
    <row r="288" spans="1:2" ht="16.05" customHeight="1">
      <c r="A288" s="120">
        <v>45106</v>
      </c>
      <c r="B288" s="8">
        <v>6.7099999999999993E-2</v>
      </c>
    </row>
    <row r="289" spans="1:2" ht="16.05" customHeight="1">
      <c r="A289" s="120">
        <v>45113</v>
      </c>
      <c r="B289" s="8">
        <v>6.8099999999999994E-2</v>
      </c>
    </row>
    <row r="290" spans="1:2" ht="16.05" customHeight="1">
      <c r="A290" s="120">
        <v>45120</v>
      </c>
      <c r="B290" s="8">
        <v>6.9599999999999995E-2</v>
      </c>
    </row>
    <row r="291" spans="1:2" ht="16.05" customHeight="1">
      <c r="A291" s="120">
        <v>45127</v>
      </c>
      <c r="B291" s="8">
        <v>6.7799999999999999E-2</v>
      </c>
    </row>
    <row r="292" spans="1:2" ht="16.05" customHeight="1">
      <c r="A292" s="120">
        <v>45134</v>
      </c>
      <c r="B292" s="8">
        <v>6.8099999999999994E-2</v>
      </c>
    </row>
    <row r="293" spans="1:2" ht="16.05" customHeight="1">
      <c r="A293" s="120">
        <v>45141</v>
      </c>
      <c r="B293" s="8">
        <v>6.9000000000000006E-2</v>
      </c>
    </row>
    <row r="294" spans="1:2" ht="16.05" customHeight="1">
      <c r="A294" s="120">
        <v>45148</v>
      </c>
      <c r="B294" s="8">
        <v>6.9599999999999995E-2</v>
      </c>
    </row>
    <row r="295" spans="1:2" ht="16.05" customHeight="1">
      <c r="A295" s="120">
        <v>45155</v>
      </c>
      <c r="B295" s="8">
        <v>7.0900000000000005E-2</v>
      </c>
    </row>
    <row r="296" spans="1:2" ht="16.05" customHeight="1">
      <c r="A296" s="120">
        <v>45162</v>
      </c>
      <c r="B296" s="8">
        <v>7.2300000000000003E-2</v>
      </c>
    </row>
    <row r="297" spans="1:2" ht="16.05" customHeight="1">
      <c r="A297" s="120">
        <v>45169</v>
      </c>
      <c r="B297" s="8">
        <v>7.1800000000000003E-2</v>
      </c>
    </row>
    <row r="298" spans="1:2" ht="16.05" customHeight="1">
      <c r="A298" s="120">
        <v>45176</v>
      </c>
      <c r="B298" s="8">
        <v>7.1199999999999999E-2</v>
      </c>
    </row>
    <row r="299" spans="1:2" ht="16.05" customHeight="1">
      <c r="A299" s="120">
        <v>45183</v>
      </c>
      <c r="B299" s="8">
        <v>7.1800000000000003E-2</v>
      </c>
    </row>
    <row r="300" spans="1:2" ht="16.05" customHeight="1">
      <c r="A300" s="120">
        <v>45190</v>
      </c>
      <c r="B300" s="8">
        <v>7.1900000000000006E-2</v>
      </c>
    </row>
    <row r="301" spans="1:2" ht="16.05" customHeight="1">
      <c r="A301" s="120">
        <v>45197</v>
      </c>
      <c r="B301" s="8">
        <v>7.3099999999999998E-2</v>
      </c>
    </row>
    <row r="302" spans="1:2" ht="16.05" customHeight="1">
      <c r="A302" s="120">
        <v>45204</v>
      </c>
      <c r="B302" s="8">
        <v>7.4900000000000008E-2</v>
      </c>
    </row>
    <row r="303" spans="1:2" ht="16.05" customHeight="1">
      <c r="A303" s="120">
        <v>45211</v>
      </c>
      <c r="B303" s="8">
        <v>7.5700000000000003E-2</v>
      </c>
    </row>
    <row r="304" spans="1:2" ht="16.05" customHeight="1">
      <c r="A304" s="120">
        <v>45218</v>
      </c>
      <c r="B304" s="8">
        <v>7.6299999999999993E-2</v>
      </c>
    </row>
    <row r="305" spans="1:2" ht="16.05" customHeight="1">
      <c r="A305" s="120">
        <v>45225</v>
      </c>
      <c r="B305" s="8">
        <v>7.7899999999999997E-2</v>
      </c>
    </row>
    <row r="306" spans="1:2" ht="16.05" customHeight="1">
      <c r="A306" s="120">
        <v>45232</v>
      </c>
      <c r="B306" s="8">
        <v>7.7600000000000002E-2</v>
      </c>
    </row>
    <row r="307" spans="1:2" ht="16.05" customHeight="1">
      <c r="A307" s="120">
        <v>45239</v>
      </c>
      <c r="B307" s="8">
        <v>7.4999999999999997E-2</v>
      </c>
    </row>
    <row r="308" spans="1:2" ht="16.05" customHeight="1">
      <c r="A308" s="120">
        <v>45246</v>
      </c>
      <c r="B308" s="8">
        <v>7.4400000000000008E-2</v>
      </c>
    </row>
    <row r="309" spans="1:2" ht="16.05" customHeight="1">
      <c r="A309" s="120">
        <v>45252</v>
      </c>
      <c r="B309" s="8">
        <v>7.2900000000000006E-2</v>
      </c>
    </row>
    <row r="310" spans="1:2" ht="16.05" customHeight="1">
      <c r="A310" s="120">
        <v>45260</v>
      </c>
      <c r="B310" s="8">
        <v>7.22E-2</v>
      </c>
    </row>
    <row r="311" spans="1:2" ht="16.05" customHeight="1">
      <c r="A311" s="120">
        <v>45267</v>
      </c>
      <c r="B311" s="8">
        <v>7.0300000000000001E-2</v>
      </c>
    </row>
    <row r="312" spans="1:2" ht="16.05" customHeight="1">
      <c r="A312" s="120">
        <v>45274</v>
      </c>
      <c r="B312" s="8">
        <v>6.9500000000000006E-2</v>
      </c>
    </row>
    <row r="313" spans="1:2" ht="16.05" customHeight="1">
      <c r="A313" s="120">
        <v>45281</v>
      </c>
      <c r="B313" s="8">
        <v>6.6699999999999995E-2</v>
      </c>
    </row>
    <row r="314" spans="1:2" ht="16.05" customHeight="1">
      <c r="A314" s="120">
        <v>45288</v>
      </c>
      <c r="B314" s="8">
        <v>6.6100000000000006E-2</v>
      </c>
    </row>
    <row r="315" spans="1:2" ht="16.05" customHeight="1">
      <c r="A315" s="120">
        <v>45295</v>
      </c>
      <c r="B315" s="8">
        <v>6.6199999999999995E-2</v>
      </c>
    </row>
    <row r="316" spans="1:2" ht="16.05" customHeight="1">
      <c r="A316" s="120">
        <v>45302</v>
      </c>
      <c r="B316" s="8">
        <v>6.6600000000000006E-2</v>
      </c>
    </row>
    <row r="317" spans="1:2" ht="16.05" customHeight="1">
      <c r="A317" s="120">
        <v>45309</v>
      </c>
      <c r="B317" s="8">
        <v>6.6000000000000003E-2</v>
      </c>
    </row>
    <row r="318" spans="1:2" ht="16.05" customHeight="1">
      <c r="A318" s="120">
        <v>45316</v>
      </c>
      <c r="B318" s="8">
        <v>6.6900000000000001E-2</v>
      </c>
    </row>
    <row r="319" spans="1:2" ht="16.05" customHeight="1">
      <c r="A319" s="120">
        <v>45323</v>
      </c>
      <c r="B319" s="8">
        <v>6.6299999999999998E-2</v>
      </c>
    </row>
    <row r="320" spans="1:2" ht="16.05" customHeight="1">
      <c r="A320" s="120">
        <v>45330</v>
      </c>
      <c r="B320" s="8">
        <v>6.6400000000000001E-2</v>
      </c>
    </row>
    <row r="321" spans="1:2" ht="16.05" customHeight="1">
      <c r="A321" s="120">
        <v>45337</v>
      </c>
      <c r="B321" s="8">
        <v>6.7699999999999996E-2</v>
      </c>
    </row>
    <row r="322" spans="1:2" ht="16.05" customHeight="1">
      <c r="A322" s="120">
        <v>45344</v>
      </c>
      <c r="B322" s="8">
        <v>6.9000000000000006E-2</v>
      </c>
    </row>
    <row r="323" spans="1:2" ht="16.05" customHeight="1">
      <c r="A323" s="120">
        <v>45351</v>
      </c>
      <c r="B323" s="8">
        <v>6.9400000000000003E-2</v>
      </c>
    </row>
    <row r="324" spans="1:2" ht="16.05" customHeight="1">
      <c r="A324" s="120">
        <v>45358</v>
      </c>
      <c r="B324" s="8">
        <v>6.88E-2</v>
      </c>
    </row>
    <row r="325" spans="1:2" ht="16.05" customHeight="1">
      <c r="A325" s="120">
        <v>45365</v>
      </c>
      <c r="B325" s="8">
        <v>6.7400000000000002E-2</v>
      </c>
    </row>
    <row r="326" spans="1:2" ht="16.05" customHeight="1">
      <c r="A326" s="120">
        <v>45372</v>
      </c>
      <c r="B326" s="8">
        <v>6.8699999999999997E-2</v>
      </c>
    </row>
    <row r="327" spans="1:2" ht="16.05" customHeight="1">
      <c r="A327" s="120">
        <v>45379</v>
      </c>
      <c r="B327" s="8">
        <v>6.7900000000000002E-2</v>
      </c>
    </row>
    <row r="328" spans="1:2" ht="16.05" customHeight="1">
      <c r="A328" s="120">
        <v>45386</v>
      </c>
      <c r="B328" s="8">
        <v>6.8199999999999997E-2</v>
      </c>
    </row>
    <row r="329" spans="1:2" ht="16.05" customHeight="1">
      <c r="A329" s="120">
        <v>45393</v>
      </c>
      <c r="B329" s="8">
        <v>6.88E-2</v>
      </c>
    </row>
    <row r="330" spans="1:2" ht="16.05" customHeight="1">
      <c r="A330" s="120">
        <v>45400</v>
      </c>
      <c r="B330" s="8">
        <v>7.0999999999999994E-2</v>
      </c>
    </row>
    <row r="331" spans="1:2" ht="16.05" customHeight="1">
      <c r="A331" s="120">
        <v>45407</v>
      </c>
      <c r="B331" s="8">
        <v>7.17E-2</v>
      </c>
    </row>
    <row r="332" spans="1:2" ht="16.05" customHeight="1">
      <c r="A332" s="120">
        <v>45414</v>
      </c>
      <c r="B332" s="8">
        <v>7.22E-2</v>
      </c>
    </row>
    <row r="333" spans="1:2" ht="16.05" customHeight="1">
      <c r="A333" s="120">
        <v>45421</v>
      </c>
      <c r="B333" s="8">
        <v>7.0900000000000005E-2</v>
      </c>
    </row>
    <row r="334" spans="1:2" ht="16.05" customHeight="1">
      <c r="A334" s="120">
        <v>45428</v>
      </c>
      <c r="B334" s="8">
        <v>7.0199999999999999E-2</v>
      </c>
    </row>
    <row r="335" spans="1:2" ht="16.05" customHeight="1">
      <c r="A335" s="120">
        <v>45435</v>
      </c>
      <c r="B335" s="8">
        <v>6.9400000000000003E-2</v>
      </c>
    </row>
    <row r="336" spans="1:2" ht="16.05" customHeight="1">
      <c r="A336" s="120">
        <v>45442</v>
      </c>
      <c r="B336" s="8">
        <v>7.0300000000000001E-2</v>
      </c>
    </row>
    <row r="337" spans="1:2" ht="16.05" customHeight="1">
      <c r="A337" s="120">
        <v>45449</v>
      </c>
      <c r="B337" s="8">
        <v>6.9900000000000004E-2</v>
      </c>
    </row>
    <row r="338" spans="1:2" ht="16.05" customHeight="1">
      <c r="A338" s="120">
        <v>45456</v>
      </c>
      <c r="B338" s="8">
        <v>6.9500000000000006E-2</v>
      </c>
    </row>
    <row r="339" spans="1:2" ht="16.05" customHeight="1">
      <c r="A339" s="120">
        <v>45463</v>
      </c>
      <c r="B339" s="8">
        <v>6.8699999999999997E-2</v>
      </c>
    </row>
    <row r="340" spans="1:2" ht="16.05" customHeight="1">
      <c r="A340" s="120">
        <v>45470</v>
      </c>
      <c r="B340" s="8">
        <v>6.8600000000000008E-2</v>
      </c>
    </row>
    <row r="341" spans="1:2" ht="16.05" customHeight="1">
      <c r="A341" s="120">
        <v>45476</v>
      </c>
      <c r="B341" s="8">
        <v>6.9500000000000006E-2</v>
      </c>
    </row>
    <row r="342" spans="1:2" ht="16.05" customHeight="1">
      <c r="A342" s="120">
        <v>45484</v>
      </c>
      <c r="B342" s="8">
        <v>6.8900000000000003E-2</v>
      </c>
    </row>
    <row r="343" spans="1:2" ht="16.05" customHeight="1">
      <c r="A343" s="120">
        <v>45491</v>
      </c>
      <c r="B343" s="8">
        <v>6.7699999999999996E-2</v>
      </c>
    </row>
    <row r="344" spans="1:2" ht="16.05" customHeight="1">
      <c r="A344" s="120">
        <v>45498</v>
      </c>
      <c r="B344" s="8">
        <v>6.7799999999999999E-2</v>
      </c>
    </row>
    <row r="345" spans="1:2" ht="16.05" customHeight="1">
      <c r="A345" s="120">
        <v>45505</v>
      </c>
      <c r="B345" s="8">
        <v>6.7299999999999999E-2</v>
      </c>
    </row>
    <row r="346" spans="1:2" ht="16.05" customHeight="1">
      <c r="A346" s="120">
        <v>45512</v>
      </c>
      <c r="B346" s="8">
        <v>6.4699999999999994E-2</v>
      </c>
    </row>
    <row r="347" spans="1:2" ht="16.05" customHeight="1">
      <c r="A347" s="120">
        <v>45519</v>
      </c>
      <c r="B347" s="8">
        <v>6.4899999999999999E-2</v>
      </c>
    </row>
    <row r="348" spans="1:2" ht="16.05" customHeight="1">
      <c r="A348" s="120">
        <v>45526</v>
      </c>
      <c r="B348" s="8">
        <v>6.4600000000000005E-2</v>
      </c>
    </row>
    <row r="349" spans="1:2" ht="16.05" customHeight="1">
      <c r="A349" s="120">
        <v>45533</v>
      </c>
      <c r="B349" s="8">
        <v>6.3500000000000001E-2</v>
      </c>
    </row>
    <row r="350" spans="1:2" ht="16.05" customHeight="1">
      <c r="A350" s="120">
        <v>45540</v>
      </c>
      <c r="B350" s="8">
        <v>6.3500000000000001E-2</v>
      </c>
    </row>
    <row r="351" spans="1:2" ht="16.05" customHeight="1">
      <c r="A351" s="120">
        <v>45547</v>
      </c>
      <c r="B351" s="8">
        <v>6.2E-2</v>
      </c>
    </row>
    <row r="352" spans="1:2" ht="16.05" customHeight="1">
      <c r="A352" s="120">
        <v>45554</v>
      </c>
      <c r="B352" s="8">
        <v>6.0899999999999996E-2</v>
      </c>
    </row>
    <row r="353" spans="1:2" ht="16.05" customHeight="1">
      <c r="A353" s="120">
        <v>45561</v>
      </c>
      <c r="B353" s="8">
        <v>6.08E-2</v>
      </c>
    </row>
    <row r="354" spans="1:2" ht="16.05" customHeight="1">
      <c r="A354" s="120">
        <v>45568</v>
      </c>
      <c r="B354" s="8">
        <v>6.1200000000000004E-2</v>
      </c>
    </row>
    <row r="355" spans="1:2" ht="16.05" customHeight="1">
      <c r="A355" s="120">
        <v>45575</v>
      </c>
      <c r="B355" s="8">
        <v>6.3200000000000006E-2</v>
      </c>
    </row>
    <row r="356" spans="1:2" ht="16.05" customHeight="1">
      <c r="A356" s="120">
        <v>45582</v>
      </c>
      <c r="B356" s="8">
        <v>6.4399999999999999E-2</v>
      </c>
    </row>
    <row r="357" spans="1:2" ht="16.05" customHeight="1">
      <c r="A357" s="120">
        <v>45589</v>
      </c>
      <c r="B357" s="8">
        <v>6.54E-2</v>
      </c>
    </row>
    <row r="358" spans="1:2" ht="16.05" customHeight="1">
      <c r="A358" s="120">
        <v>45596</v>
      </c>
      <c r="B358" s="8">
        <v>6.7199999999999996E-2</v>
      </c>
    </row>
    <row r="359" spans="1:2" ht="16.05" customHeight="1">
      <c r="A359" s="120">
        <v>45603</v>
      </c>
      <c r="B359" s="8">
        <v>6.7900000000000002E-2</v>
      </c>
    </row>
    <row r="360" spans="1:2" ht="16.05" customHeight="1">
      <c r="A360" s="120">
        <v>45610</v>
      </c>
      <c r="B360" s="8">
        <v>6.7799999999999999E-2</v>
      </c>
    </row>
    <row r="361" spans="1:2" ht="16.05" customHeight="1">
      <c r="A361" s="120">
        <v>45617</v>
      </c>
      <c r="B361" s="8">
        <v>6.8400000000000002E-2</v>
      </c>
    </row>
    <row r="362" spans="1:2" ht="16.05" customHeight="1">
      <c r="A362" s="120">
        <v>45623</v>
      </c>
      <c r="B362" s="8">
        <v>6.8099999999999994E-2</v>
      </c>
    </row>
    <row r="363" spans="1:2" ht="16.05" customHeight="1">
      <c r="A363" s="120">
        <v>45631</v>
      </c>
      <c r="B363" s="8">
        <v>6.6900000000000001E-2</v>
      </c>
    </row>
    <row r="364" spans="1:2" ht="16.05" customHeight="1">
      <c r="A364" s="120">
        <v>45638</v>
      </c>
      <c r="B364" s="8">
        <v>6.6000000000000003E-2</v>
      </c>
    </row>
    <row r="365" spans="1:2" ht="16.05" customHeight="1">
      <c r="A365" s="120">
        <v>45645</v>
      </c>
      <c r="B365" s="8">
        <v>6.7199999999999996E-2</v>
      </c>
    </row>
    <row r="366" spans="1:2" ht="16.05" customHeight="1">
      <c r="A366" s="120">
        <v>45652</v>
      </c>
      <c r="B366" s="8">
        <v>6.8499999999999991E-2</v>
      </c>
    </row>
    <row r="367" spans="1:2" ht="16.05" customHeight="1">
      <c r="A367" s="120">
        <v>45659</v>
      </c>
      <c r="B367" s="8">
        <v>6.9099999999999995E-2</v>
      </c>
    </row>
    <row r="368" spans="1:2" ht="16.05" customHeight="1">
      <c r="A368" s="120">
        <v>45666</v>
      </c>
      <c r="B368" s="8">
        <v>6.93E-2</v>
      </c>
    </row>
    <row r="369" spans="1:2" ht="16.05" customHeight="1">
      <c r="A369" s="120">
        <v>45673</v>
      </c>
      <c r="B369" s="8">
        <v>7.0400000000000004E-2</v>
      </c>
    </row>
    <row r="370" spans="1:2" ht="16.05" customHeight="1">
      <c r="A370" s="120">
        <v>45680</v>
      </c>
      <c r="B370" s="8">
        <v>6.9599999999999995E-2</v>
      </c>
    </row>
    <row r="371" spans="1:2" ht="16.05" customHeight="1">
      <c r="A371" s="120">
        <v>45687</v>
      </c>
      <c r="B371" s="8">
        <v>6.9500000000000006E-2</v>
      </c>
    </row>
    <row r="372" spans="1:2" ht="16.05" customHeight="1">
      <c r="A372" s="120">
        <v>45694</v>
      </c>
      <c r="B372" s="8">
        <v>6.8900000000000003E-2</v>
      </c>
    </row>
    <row r="373" spans="1:2" ht="16.05" customHeight="1">
      <c r="A373" s="120">
        <v>45701</v>
      </c>
      <c r="B373" s="8">
        <v>6.8699999999999997E-2</v>
      </c>
    </row>
    <row r="374" spans="1:2" ht="16.05" customHeight="1">
      <c r="A374" s="120">
        <v>45708</v>
      </c>
      <c r="B374" s="8">
        <v>6.8499999999999991E-2</v>
      </c>
    </row>
    <row r="375" spans="1:2" ht="16.05" customHeight="1">
      <c r="A375" s="120">
        <v>45715</v>
      </c>
      <c r="B375" s="8">
        <v>6.7599999999999993E-2</v>
      </c>
    </row>
    <row r="376" spans="1:2" ht="16.05" customHeight="1">
      <c r="A376" s="120">
        <v>45722</v>
      </c>
      <c r="B376" s="8">
        <v>6.6299999999999998E-2</v>
      </c>
    </row>
    <row r="377" spans="1:2" ht="16.05" customHeight="1">
      <c r="A377" s="120">
        <v>45729</v>
      </c>
      <c r="B377" s="8">
        <v>6.6500000000000004E-2</v>
      </c>
    </row>
    <row r="378" spans="1:2" ht="16.05" customHeight="1">
      <c r="A378" s="120">
        <v>45736</v>
      </c>
      <c r="B378" s="8">
        <v>6.6699999999999995E-2</v>
      </c>
    </row>
    <row r="379" spans="1:2" ht="16.05" customHeight="1">
      <c r="A379" s="120">
        <v>45743</v>
      </c>
      <c r="B379" s="8">
        <v>6.6500000000000004E-2</v>
      </c>
    </row>
    <row r="380" spans="1:2" ht="16.05" customHeight="1">
      <c r="A380" s="120">
        <v>45750</v>
      </c>
      <c r="B380" s="8">
        <v>6.6400000000000001E-2</v>
      </c>
    </row>
    <row r="381" spans="1:2" ht="16.05" customHeight="1">
      <c r="A381" s="120">
        <v>45757</v>
      </c>
      <c r="B381" s="8">
        <v>6.6199999999999995E-2</v>
      </c>
    </row>
    <row r="382" spans="1:2" ht="16.05" customHeight="1">
      <c r="A382" s="120">
        <v>45764</v>
      </c>
      <c r="B382" s="8">
        <v>6.83E-2</v>
      </c>
    </row>
    <row r="383" spans="1:2" ht="16.05" customHeight="1">
      <c r="A383" s="120">
        <v>45771</v>
      </c>
      <c r="B383" s="8">
        <v>6.8099999999999994E-2</v>
      </c>
    </row>
    <row r="384" spans="1:2" ht="16.05" customHeight="1">
      <c r="A384" s="120">
        <v>45778</v>
      </c>
      <c r="B384" s="8">
        <v>6.7599999999999993E-2</v>
      </c>
    </row>
    <row r="385" spans="1:2" ht="16.05" customHeight="1">
      <c r="A385" s="120">
        <v>45785</v>
      </c>
      <c r="B385" s="8">
        <v>6.7599999999999993E-2</v>
      </c>
    </row>
    <row r="386" spans="1:2" ht="16.05" customHeight="1">
      <c r="A386" s="120">
        <v>45792</v>
      </c>
      <c r="B386" s="8">
        <v>6.8099999999999994E-2</v>
      </c>
    </row>
    <row r="387" spans="1:2" ht="16.05" customHeight="1">
      <c r="A387" s="120">
        <v>45799</v>
      </c>
      <c r="B387" s="8">
        <v>6.8600000000000008E-2</v>
      </c>
    </row>
    <row r="388" spans="1:2" ht="16.05" customHeight="1">
      <c r="A388" s="120">
        <v>45806</v>
      </c>
      <c r="B388" s="8">
        <v>6.8900000000000003E-2</v>
      </c>
    </row>
    <row r="389" spans="1:2" ht="16.05" customHeight="1">
      <c r="A389" s="120">
        <v>45813</v>
      </c>
      <c r="B389" s="8">
        <v>6.8499999999999991E-2</v>
      </c>
    </row>
    <row r="390" spans="1:2" ht="16.05" customHeight="1">
      <c r="A390" s="120">
        <v>45820</v>
      </c>
      <c r="B390" s="8">
        <v>6.8400000000000002E-2</v>
      </c>
    </row>
    <row r="391" spans="1:2" ht="16.05" customHeight="1">
      <c r="A391" s="120">
        <v>45826</v>
      </c>
      <c r="B391" s="8">
        <v>6.8099999999999994E-2</v>
      </c>
    </row>
    <row r="392" spans="1:2" ht="16.05" customHeight="1">
      <c r="A392" s="120">
        <v>45834</v>
      </c>
      <c r="B392" s="8">
        <v>6.7699999999999996E-2</v>
      </c>
    </row>
    <row r="393" spans="1:2" ht="16.05" customHeight="1">
      <c r="A393" s="120">
        <v>45841</v>
      </c>
      <c r="B393" s="8">
        <v>6.6699999999999995E-2</v>
      </c>
    </row>
    <row r="394" spans="1:2" ht="16.05" customHeight="1">
      <c r="A394" s="120">
        <v>45848</v>
      </c>
      <c r="B394" s="8">
        <v>6.7199999999999996E-2</v>
      </c>
    </row>
    <row r="395" spans="1:2" ht="16.05" customHeight="1">
      <c r="A395" s="120">
        <v>45855</v>
      </c>
      <c r="B395" s="8">
        <v>6.7500000000000004E-2</v>
      </c>
    </row>
    <row r="396" spans="1:2" ht="16.05" customHeight="1">
      <c r="A396" s="120">
        <v>45862</v>
      </c>
      <c r="B396" s="8">
        <v>6.7400000000000002E-2</v>
      </c>
    </row>
    <row r="397" spans="1:2" ht="16.05" customHeight="1">
      <c r="A397" s="120">
        <v>45869</v>
      </c>
      <c r="B397" s="8">
        <v>6.7199999999999996E-2</v>
      </c>
    </row>
    <row r="398" spans="1:2" ht="16.05" customHeight="1">
      <c r="A398" s="120">
        <v>45876</v>
      </c>
      <c r="B398" s="8">
        <v>6.6299999999999998E-2</v>
      </c>
    </row>
    <row r="399" spans="1:2" ht="16.05" customHeight="1">
      <c r="A399" s="120">
        <v>45883</v>
      </c>
      <c r="B399" s="8">
        <v>6.5799999999999997E-2</v>
      </c>
    </row>
    <row r="400" spans="1:2" ht="16.05" customHeight="1">
      <c r="A400" s="120">
        <v>45890</v>
      </c>
      <c r="B400" s="8">
        <v>6.5799999999999997E-2</v>
      </c>
    </row>
    <row r="401" spans="1:2" ht="16.05" customHeight="1">
      <c r="A401" s="120">
        <v>45897</v>
      </c>
      <c r="B401" s="8">
        <v>6.5599999999999992E-2</v>
      </c>
    </row>
    <row r="402" spans="1:2" ht="16.05" customHeight="1">
      <c r="A402" s="120">
        <v>45904</v>
      </c>
      <c r="B402" s="8">
        <v>6.5000000000000002E-2</v>
      </c>
    </row>
    <row r="403" spans="1:2" ht="16.05" customHeight="1">
      <c r="A403" s="120">
        <v>45911</v>
      </c>
      <c r="B403" s="8">
        <v>6.3500000000000001E-2</v>
      </c>
    </row>
    <row r="404" spans="1:2" ht="16.05" customHeight="1">
      <c r="A404" s="120">
        <v>45918</v>
      </c>
      <c r="B404" s="8">
        <v>6.2600000000000003E-2</v>
      </c>
    </row>
    <row r="405" spans="1:2" ht="16.05" customHeight="1">
      <c r="A405" s="120">
        <v>45925</v>
      </c>
      <c r="B405" s="8">
        <v>6.3E-2</v>
      </c>
    </row>
    <row r="406" spans="1:2" ht="16.05" customHeight="1">
      <c r="A406" s="120">
        <v>45932</v>
      </c>
      <c r="B406" s="8">
        <v>6.3399999999999998E-2</v>
      </c>
    </row>
    <row r="407" spans="1:2" ht="16.05" customHeight="1">
      <c r="A407" s="120">
        <v>45939</v>
      </c>
      <c r="B407" s="8">
        <v>6.3E-2</v>
      </c>
    </row>
    <row r="408" spans="1:2" ht="16.05" customHeight="1">
      <c r="A408" s="120">
        <v>45946</v>
      </c>
      <c r="B408" s="8">
        <v>6.2699999999999992E-2</v>
      </c>
    </row>
    <row r="409" spans="1:2" ht="16.05" customHeight="1">
      <c r="A409" s="120">
        <v>45953</v>
      </c>
      <c r="B409" s="8">
        <v>6.1900000000000004E-2</v>
      </c>
    </row>
    <row r="410" spans="1:2" ht="16.05" customHeight="1">
      <c r="A410" s="120">
        <v>45960</v>
      </c>
      <c r="B410" s="8">
        <v>6.1699999999999998E-2</v>
      </c>
    </row>
    <row r="411" spans="1:2" ht="16.05" customHeight="1">
      <c r="A411" s="120">
        <v>45967</v>
      </c>
      <c r="B411" s="8">
        <v>6.2199999999999998E-2</v>
      </c>
    </row>
    <row r="412" spans="1:2" ht="16.05" customHeight="1">
      <c r="A412" s="120">
        <v>45974</v>
      </c>
      <c r="B412" s="8">
        <v>6.2400000000000004E-2</v>
      </c>
    </row>
    <row r="413" spans="1:2" ht="16.05" customHeight="1">
      <c r="A413" s="120">
        <v>45981</v>
      </c>
      <c r="B413" s="8">
        <v>6.2600000000000003E-2</v>
      </c>
    </row>
    <row r="414" spans="1:2" ht="16.05" customHeight="1">
      <c r="A414" s="120">
        <v>45987</v>
      </c>
      <c r="B414" s="8">
        <v>6.2300000000000001E-2</v>
      </c>
    </row>
    <row r="415" spans="1:2" ht="16.05" customHeight="1">
      <c r="A415" s="120">
        <v>45995</v>
      </c>
      <c r="B415" s="8">
        <v>6.1900000000000004E-2</v>
      </c>
    </row>
    <row r="416" spans="1:2" ht="16.05" customHeight="1">
      <c r="A416" s="120">
        <v>46002</v>
      </c>
      <c r="B416" s="8">
        <v>6.2199999999999998E-2</v>
      </c>
    </row>
    <row r="417" spans="1:2" ht="16.05" customHeight="1">
      <c r="A417" s="120">
        <v>46009</v>
      </c>
      <c r="B417" s="8">
        <v>6.2100000000000002E-2</v>
      </c>
    </row>
    <row r="418" spans="1:2" ht="16.05" customHeight="1">
      <c r="A418" s="120">
        <v>46015</v>
      </c>
      <c r="B418" s="8">
        <v>6.1799999999999994E-2</v>
      </c>
    </row>
    <row r="419" spans="1:2" ht="16.05" customHeight="1">
      <c r="A419" s="120">
        <v>46022</v>
      </c>
      <c r="B419" s="8">
        <v>6.1500000000000006E-2</v>
      </c>
    </row>
    <row r="420" spans="1:2" ht="16.05" customHeight="1">
      <c r="A420" s="120">
        <v>46030</v>
      </c>
      <c r="B420" s="8">
        <v>6.1600000000000002E-2</v>
      </c>
    </row>
    <row r="421" spans="1:2" ht="16.05" customHeight="1">
      <c r="A421" s="120">
        <v>46037</v>
      </c>
      <c r="B421" s="8">
        <v>6.0599999999999994E-2</v>
      </c>
    </row>
    <row r="422" spans="1:2" ht="16.05" customHeight="1">
      <c r="A422" s="120">
        <v>46044</v>
      </c>
      <c r="B422" s="8">
        <v>6.0899999999999996E-2</v>
      </c>
    </row>
    <row r="423" spans="1:2" ht="16.05" customHeight="1">
      <c r="A423" s="120">
        <v>46051</v>
      </c>
      <c r="B423" s="8">
        <v>6.0999999999999999E-2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034F-1029-4936-AEDA-314A0EBD1812}">
  <sheetPr>
    <tabColor theme="5" tint="0.79998168889431442"/>
  </sheetPr>
  <dimension ref="A1:C97"/>
  <sheetViews>
    <sheetView showGridLines="0" workbookViewId="0">
      <selection activeCell="J33" sqref="J33"/>
    </sheetView>
  </sheetViews>
  <sheetFormatPr defaultColWidth="16.77734375" defaultRowHeight="16.05" customHeight="1"/>
  <cols>
    <col min="1" max="1" width="16.5546875" bestFit="1" customWidth="1"/>
    <col min="2" max="2" width="16.77734375" style="122"/>
  </cols>
  <sheetData>
    <row r="1" spans="1:3" ht="30" customHeight="1">
      <c r="A1" s="121" t="s">
        <v>213</v>
      </c>
      <c r="B1" s="121" t="s">
        <v>224</v>
      </c>
      <c r="C1" s="123" t="s">
        <v>222</v>
      </c>
    </row>
    <row r="2" spans="1:3" ht="15" customHeight="1">
      <c r="A2" s="120">
        <v>43101</v>
      </c>
      <c r="B2" s="8">
        <v>4.1700004182615401E-2</v>
      </c>
    </row>
    <row r="3" spans="1:3" ht="16.05" customHeight="1">
      <c r="A3" s="120">
        <v>43132</v>
      </c>
      <c r="B3" s="8">
        <v>2.01327934554867E-2</v>
      </c>
    </row>
    <row r="4" spans="1:3" ht="16.05" customHeight="1">
      <c r="A4" s="120">
        <v>43160</v>
      </c>
      <c r="B4" s="8">
        <v>1.9619000737253901E-2</v>
      </c>
    </row>
    <row r="5" spans="1:3" ht="16.05" customHeight="1">
      <c r="A5" s="120">
        <v>43191</v>
      </c>
      <c r="B5" s="8">
        <v>2.9320091480948798E-2</v>
      </c>
    </row>
    <row r="6" spans="1:3" ht="16.05" customHeight="1">
      <c r="A6" s="120">
        <v>43221</v>
      </c>
      <c r="B6" s="8">
        <v>2.9818325508401199E-2</v>
      </c>
    </row>
    <row r="7" spans="1:3" ht="16.05" customHeight="1">
      <c r="A7" s="120">
        <v>43252</v>
      </c>
      <c r="B7" s="8">
        <v>2.6321178885371201E-2</v>
      </c>
    </row>
    <row r="8" spans="1:3" ht="16.05" customHeight="1">
      <c r="A8" s="120">
        <v>43282</v>
      </c>
      <c r="B8" s="8">
        <v>2.1114939144998499E-2</v>
      </c>
    </row>
    <row r="9" spans="1:3" ht="16.05" customHeight="1">
      <c r="A9" s="120">
        <v>43313</v>
      </c>
      <c r="B9" s="8">
        <v>2.2967112867850997E-2</v>
      </c>
    </row>
    <row r="10" spans="1:3" ht="16.05" customHeight="1">
      <c r="A10" s="120">
        <v>43344</v>
      </c>
      <c r="B10" s="8">
        <v>2.3337233555462199E-2</v>
      </c>
    </row>
    <row r="11" spans="1:3" ht="16.05" customHeight="1">
      <c r="A11" s="120">
        <v>43374</v>
      </c>
      <c r="B11" s="8">
        <v>2.60626268747923E-2</v>
      </c>
    </row>
    <row r="12" spans="1:3" ht="16.05" customHeight="1">
      <c r="A12" s="120">
        <v>43405</v>
      </c>
      <c r="B12" s="8">
        <v>3.7237636017007698E-2</v>
      </c>
    </row>
    <row r="13" spans="1:3" ht="16.05" customHeight="1">
      <c r="A13" s="120">
        <v>43435</v>
      </c>
      <c r="B13" s="8">
        <v>2.91177701505443E-2</v>
      </c>
    </row>
    <row r="14" spans="1:3" ht="16.05" customHeight="1">
      <c r="A14" s="120">
        <v>43466</v>
      </c>
      <c r="B14" s="8">
        <v>2.88960472562634E-2</v>
      </c>
    </row>
    <row r="15" spans="1:3" ht="16.05" customHeight="1">
      <c r="A15" s="120">
        <v>43497</v>
      </c>
      <c r="B15" s="8">
        <v>2.9782176262610899E-2</v>
      </c>
    </row>
    <row r="16" spans="1:3" ht="16.05" customHeight="1">
      <c r="A16" s="120">
        <v>43525</v>
      </c>
      <c r="B16" s="8">
        <v>3.2102411483228697E-2</v>
      </c>
    </row>
    <row r="17" spans="1:2" ht="16.05" customHeight="1">
      <c r="A17" s="120">
        <v>43556</v>
      </c>
      <c r="B17" s="8">
        <v>2.8294623237908899E-2</v>
      </c>
    </row>
    <row r="18" spans="1:2" ht="16.05" customHeight="1">
      <c r="A18" s="120">
        <v>43586</v>
      </c>
      <c r="B18" s="8">
        <v>2.55853514567628E-2</v>
      </c>
    </row>
    <row r="19" spans="1:2" ht="16.05" customHeight="1">
      <c r="A19" s="120">
        <v>43617</v>
      </c>
      <c r="B19" s="8">
        <v>2.9631049949516899E-2</v>
      </c>
    </row>
    <row r="20" spans="1:2" ht="16.05" customHeight="1">
      <c r="A20" s="120">
        <v>43647</v>
      </c>
      <c r="B20" s="8">
        <v>3.2008888117851103E-2</v>
      </c>
    </row>
    <row r="21" spans="1:2" ht="16.05" customHeight="1">
      <c r="A21" s="120">
        <v>43678</v>
      </c>
      <c r="B21" s="8">
        <v>2.6257566309874497E-2</v>
      </c>
    </row>
    <row r="22" spans="1:2" ht="16.05" customHeight="1">
      <c r="A22" s="120">
        <v>43709</v>
      </c>
      <c r="B22" s="8">
        <v>2.50440284645774E-2</v>
      </c>
    </row>
    <row r="23" spans="1:2" ht="16.05" customHeight="1">
      <c r="A23" s="120">
        <v>43739</v>
      </c>
      <c r="B23" s="8">
        <v>2.67072730886815E-2</v>
      </c>
    </row>
    <row r="24" spans="1:2" ht="16.05" customHeight="1">
      <c r="A24" s="120">
        <v>43770</v>
      </c>
      <c r="B24" s="8">
        <v>3.2778581013518597E-2</v>
      </c>
    </row>
    <row r="25" spans="1:2" ht="16.05" customHeight="1">
      <c r="A25" s="120">
        <v>43800</v>
      </c>
      <c r="B25" s="8">
        <v>2.5254170819437597E-2</v>
      </c>
    </row>
    <row r="26" spans="1:2" ht="16.05" customHeight="1">
      <c r="A26" s="120">
        <v>43831</v>
      </c>
      <c r="B26" s="8">
        <v>3.6106876926511801E-2</v>
      </c>
    </row>
    <row r="27" spans="1:2" ht="16.05" customHeight="1">
      <c r="A27" s="120">
        <v>43862</v>
      </c>
      <c r="B27" s="8">
        <v>2.8867912720946399E-2</v>
      </c>
    </row>
    <row r="28" spans="1:2" ht="16.05" customHeight="1">
      <c r="A28" s="120">
        <v>43891</v>
      </c>
      <c r="B28" s="8">
        <v>2.96074316871415E-2</v>
      </c>
    </row>
    <row r="29" spans="1:2" ht="16.05" customHeight="1">
      <c r="A29" s="120">
        <v>43922</v>
      </c>
      <c r="B29" s="8">
        <v>2.1808665290540298E-2</v>
      </c>
    </row>
    <row r="30" spans="1:2" ht="16.05" customHeight="1">
      <c r="A30" s="120">
        <v>43952</v>
      </c>
      <c r="B30" s="8">
        <v>2.8987914221101099E-2</v>
      </c>
    </row>
    <row r="31" spans="1:2" ht="16.05" customHeight="1">
      <c r="A31" s="120">
        <v>43983</v>
      </c>
      <c r="B31" s="8">
        <v>1.8345648694239901E-2</v>
      </c>
    </row>
    <row r="32" spans="1:2" ht="16.05" customHeight="1">
      <c r="A32" s="120">
        <v>44013</v>
      </c>
      <c r="B32" s="8">
        <v>3.4431359083352903E-2</v>
      </c>
    </row>
    <row r="33" spans="1:2" ht="16.05" customHeight="1">
      <c r="A33" s="120">
        <v>44044</v>
      </c>
      <c r="B33" s="8">
        <v>2.6071155139935999E-2</v>
      </c>
    </row>
    <row r="34" spans="1:2" ht="16.05" customHeight="1">
      <c r="A34" s="120">
        <v>44075</v>
      </c>
      <c r="B34" s="8">
        <v>1.1443413782877601E-2</v>
      </c>
    </row>
    <row r="35" spans="1:2" ht="16.05" customHeight="1">
      <c r="A35" s="120">
        <v>44105</v>
      </c>
      <c r="B35" s="8">
        <v>1.8205756897327299E-2</v>
      </c>
    </row>
    <row r="36" spans="1:2" ht="16.05" customHeight="1">
      <c r="A36" s="120">
        <v>44136</v>
      </c>
      <c r="B36" s="8">
        <v>1.45986298697687E-2</v>
      </c>
    </row>
    <row r="37" spans="1:2" ht="16.05" customHeight="1">
      <c r="A37" s="120">
        <v>44166</v>
      </c>
      <c r="B37" s="8">
        <v>1.44368888695681E-2</v>
      </c>
    </row>
    <row r="38" spans="1:2" ht="16.05" customHeight="1">
      <c r="A38" s="120">
        <v>44197</v>
      </c>
      <c r="B38" s="8">
        <v>1.2061813435216199E-2</v>
      </c>
    </row>
    <row r="39" spans="1:2" ht="16.05" customHeight="1">
      <c r="A39" s="120">
        <v>44228</v>
      </c>
      <c r="B39" s="8">
        <v>2.7856728441836499E-2</v>
      </c>
    </row>
    <row r="40" spans="1:2" ht="16.05" customHeight="1">
      <c r="A40" s="120">
        <v>44256</v>
      </c>
      <c r="B40" s="8">
        <v>2.1881233327876802E-2</v>
      </c>
    </row>
    <row r="41" spans="1:2" ht="16.05" customHeight="1">
      <c r="A41" s="120">
        <v>44287</v>
      </c>
      <c r="B41" s="8">
        <v>2.8980231665139501E-2</v>
      </c>
    </row>
    <row r="42" spans="1:2" ht="16.05" customHeight="1">
      <c r="A42" s="120">
        <v>44317</v>
      </c>
      <c r="B42" s="8">
        <v>3.3730910133644001E-2</v>
      </c>
    </row>
    <row r="43" spans="1:2" ht="16.05" customHeight="1">
      <c r="A43" s="120">
        <v>44348</v>
      </c>
      <c r="B43" s="8">
        <v>3.6630848852770001E-2</v>
      </c>
    </row>
    <row r="44" spans="1:2" ht="16.05" customHeight="1">
      <c r="A44" s="120">
        <v>44378</v>
      </c>
      <c r="B44" s="8">
        <v>3.1200841239386001E-2</v>
      </c>
    </row>
    <row r="45" spans="1:2" ht="16.05" customHeight="1">
      <c r="A45" s="120">
        <v>44409</v>
      </c>
      <c r="B45" s="8">
        <v>4.1119800164652907E-2</v>
      </c>
    </row>
    <row r="46" spans="1:2" ht="16.05" customHeight="1">
      <c r="A46" s="120">
        <v>44440</v>
      </c>
      <c r="B46" s="8">
        <v>5.37758874479701E-2</v>
      </c>
    </row>
    <row r="47" spans="1:2" ht="16.05" customHeight="1">
      <c r="A47" s="120">
        <v>44470</v>
      </c>
      <c r="B47" s="8">
        <v>6.9144991502175998E-2</v>
      </c>
    </row>
    <row r="48" spans="1:2" ht="16.05" customHeight="1">
      <c r="A48" s="120">
        <v>44501</v>
      </c>
      <c r="B48" s="8">
        <v>5.4362077706412E-2</v>
      </c>
    </row>
    <row r="49" spans="1:2" ht="16.05" customHeight="1">
      <c r="A49" s="120">
        <v>44531</v>
      </c>
      <c r="B49" s="8">
        <v>4.9315583293090694E-2</v>
      </c>
    </row>
    <row r="50" spans="1:2" ht="16.05" customHeight="1">
      <c r="A50" s="120">
        <v>44562</v>
      </c>
      <c r="B50" s="8">
        <v>6.4077835826954505E-2</v>
      </c>
    </row>
    <row r="51" spans="1:2" ht="16.05" customHeight="1">
      <c r="A51" s="120">
        <v>44593</v>
      </c>
      <c r="B51" s="8">
        <v>6.3180865281748003E-2</v>
      </c>
    </row>
    <row r="52" spans="1:2" ht="16.05" customHeight="1">
      <c r="A52" s="120">
        <v>44621</v>
      </c>
      <c r="B52" s="8">
        <v>5.5962347755455798E-2</v>
      </c>
    </row>
    <row r="53" spans="1:2" ht="16.05" customHeight="1">
      <c r="A53" s="120">
        <v>44652</v>
      </c>
      <c r="B53" s="8">
        <v>6.6331460574043696E-2</v>
      </c>
    </row>
    <row r="54" spans="1:2" ht="16.05" customHeight="1">
      <c r="A54" s="120">
        <v>44682</v>
      </c>
      <c r="B54" s="8">
        <v>7.6656220560062299E-2</v>
      </c>
    </row>
    <row r="55" spans="1:2" ht="16.05" customHeight="1">
      <c r="A55" s="120">
        <v>44713</v>
      </c>
      <c r="B55" s="8">
        <v>8.1915717450113501E-2</v>
      </c>
    </row>
    <row r="56" spans="1:2" ht="16.05" customHeight="1">
      <c r="A56" s="120">
        <v>44743</v>
      </c>
      <c r="B56" s="8">
        <v>7.0292358095447802E-2</v>
      </c>
    </row>
    <row r="57" spans="1:2" ht="16.05" customHeight="1">
      <c r="A57" s="120">
        <v>44774</v>
      </c>
      <c r="B57" s="8">
        <v>7.77400813178937E-2</v>
      </c>
    </row>
    <row r="58" spans="1:2" ht="16.05" customHeight="1">
      <c r="A58" s="120">
        <v>44805</v>
      </c>
      <c r="B58" s="8">
        <v>7.4570161044927002E-2</v>
      </c>
    </row>
    <row r="59" spans="1:2" ht="16.05" customHeight="1">
      <c r="A59" s="120">
        <v>44835</v>
      </c>
      <c r="B59" s="8">
        <v>7.5428080644597106E-2</v>
      </c>
    </row>
    <row r="60" spans="1:2" ht="16.05" customHeight="1">
      <c r="A60" s="120">
        <v>44866</v>
      </c>
      <c r="B60" s="8">
        <v>6.1531667728038003E-2</v>
      </c>
    </row>
    <row r="61" spans="1:2" ht="16.05" customHeight="1">
      <c r="A61" s="120">
        <v>44896</v>
      </c>
      <c r="B61" s="8">
        <v>5.5237859326772797E-2</v>
      </c>
    </row>
    <row r="62" spans="1:2" ht="16.05" customHeight="1">
      <c r="A62" s="120">
        <v>44927</v>
      </c>
      <c r="B62" s="8">
        <v>6.725673803672079E-2</v>
      </c>
    </row>
    <row r="63" spans="1:2" ht="16.05" customHeight="1">
      <c r="A63" s="120">
        <v>44958</v>
      </c>
      <c r="B63" s="8">
        <v>7.1555566242886406E-2</v>
      </c>
    </row>
    <row r="64" spans="1:2" ht="16.05" customHeight="1">
      <c r="A64" s="120">
        <v>44986</v>
      </c>
      <c r="B64" s="8">
        <v>4.6997374479439198E-2</v>
      </c>
    </row>
    <row r="65" spans="1:2" ht="16.05" customHeight="1">
      <c r="A65" s="120">
        <v>45017</v>
      </c>
      <c r="B65" s="8">
        <v>5.6712542413064303E-2</v>
      </c>
    </row>
    <row r="66" spans="1:2" ht="16.05" customHeight="1">
      <c r="A66" s="120">
        <v>45047</v>
      </c>
      <c r="B66" s="8">
        <v>4.8079982314680497E-2</v>
      </c>
    </row>
    <row r="67" spans="1:2" ht="16.05" customHeight="1">
      <c r="A67" s="120">
        <v>45078</v>
      </c>
      <c r="B67" s="8">
        <v>4.6991105248304701E-2</v>
      </c>
    </row>
    <row r="68" spans="1:2" ht="16.05" customHeight="1">
      <c r="A68" s="120">
        <v>45108</v>
      </c>
      <c r="B68" s="8">
        <v>3.2286079381506495E-2</v>
      </c>
    </row>
    <row r="69" spans="1:2" ht="16.05" customHeight="1">
      <c r="A69" s="120">
        <v>45139</v>
      </c>
      <c r="B69" s="8">
        <v>4.2079690570273394E-2</v>
      </c>
    </row>
    <row r="70" spans="1:2" ht="16.05" customHeight="1">
      <c r="A70" s="120">
        <v>45170</v>
      </c>
      <c r="B70" s="8">
        <v>4.8389675656051602E-2</v>
      </c>
    </row>
    <row r="71" spans="1:2" ht="16.05" customHeight="1">
      <c r="A71" s="120">
        <v>45200</v>
      </c>
      <c r="B71" s="8">
        <v>4.1657629534600504E-2</v>
      </c>
    </row>
    <row r="72" spans="1:2" ht="16.05" customHeight="1">
      <c r="A72" s="120">
        <v>45231</v>
      </c>
      <c r="B72" s="8">
        <v>5.5350638412277497E-2</v>
      </c>
    </row>
    <row r="73" spans="1:2" ht="16.05" customHeight="1">
      <c r="A73" s="120">
        <v>45261</v>
      </c>
      <c r="B73" s="8">
        <v>4.1879308431933104E-2</v>
      </c>
    </row>
    <row r="74" spans="1:2" ht="16.05" customHeight="1">
      <c r="A74" s="120">
        <v>45292</v>
      </c>
      <c r="B74" s="8">
        <v>5.7249138849145204E-2</v>
      </c>
    </row>
    <row r="75" spans="1:2" ht="16.05" customHeight="1">
      <c r="A75" s="120">
        <v>45323</v>
      </c>
      <c r="B75" s="8">
        <v>4.3017516169104694E-2</v>
      </c>
    </row>
    <row r="76" spans="1:2" ht="16.05" customHeight="1">
      <c r="A76" s="120">
        <v>45352</v>
      </c>
      <c r="B76" s="8">
        <v>4.7301659211818302E-2</v>
      </c>
    </row>
    <row r="77" spans="1:2" ht="16.05" customHeight="1">
      <c r="A77" s="120">
        <v>45383</v>
      </c>
      <c r="B77" s="8">
        <v>4.2513225900609797E-2</v>
      </c>
    </row>
    <row r="78" spans="1:2" ht="16.05" customHeight="1">
      <c r="A78" s="120">
        <v>45413</v>
      </c>
      <c r="B78" s="8">
        <v>2.8072903589305701E-2</v>
      </c>
    </row>
    <row r="79" spans="1:2" ht="16.05" customHeight="1">
      <c r="A79" s="120">
        <v>45444</v>
      </c>
      <c r="B79" s="8">
        <v>2.4962559891158701E-2</v>
      </c>
    </row>
    <row r="80" spans="1:2" ht="16.05" customHeight="1">
      <c r="A80" s="120">
        <v>45474</v>
      </c>
      <c r="B80" s="8">
        <v>2.6362894914860002E-2</v>
      </c>
    </row>
    <row r="81" spans="1:2" ht="16.05" customHeight="1">
      <c r="A81" s="120">
        <v>45505</v>
      </c>
      <c r="B81" s="8">
        <v>3.7017422563925505E-2</v>
      </c>
    </row>
    <row r="82" spans="1:2" ht="16.05" customHeight="1">
      <c r="A82" s="120">
        <v>45536</v>
      </c>
      <c r="B82" s="8">
        <v>4.1464612765687497E-2</v>
      </c>
    </row>
    <row r="83" spans="1:2" ht="16.05" customHeight="1">
      <c r="A83" s="120">
        <v>45566</v>
      </c>
      <c r="B83" s="8">
        <v>3.6986945974528201E-2</v>
      </c>
    </row>
    <row r="84" spans="1:2" ht="16.05" customHeight="1">
      <c r="A84" s="120">
        <v>45597</v>
      </c>
      <c r="B84" s="8">
        <v>3.2260702042872499E-2</v>
      </c>
    </row>
    <row r="85" spans="1:2" ht="16.05" customHeight="1">
      <c r="A85" s="120">
        <v>45627</v>
      </c>
      <c r="B85" s="8">
        <v>3.2345110307151696E-2</v>
      </c>
    </row>
    <row r="86" spans="1:2" ht="16.05" customHeight="1">
      <c r="A86" s="120">
        <v>45658</v>
      </c>
      <c r="B86" s="8">
        <v>3.9301934375172799E-2</v>
      </c>
    </row>
    <row r="87" spans="1:2" ht="16.05" customHeight="1">
      <c r="A87" s="120">
        <v>45689</v>
      </c>
      <c r="B87" s="8">
        <v>3.5162319286317703E-2</v>
      </c>
    </row>
    <row r="88" spans="1:2" ht="16.05" customHeight="1">
      <c r="A88" s="120">
        <v>45717</v>
      </c>
      <c r="B88" s="8">
        <v>4.1841096018732295E-2</v>
      </c>
    </row>
    <row r="89" spans="1:2" ht="16.05" customHeight="1">
      <c r="A89" s="120">
        <v>45748</v>
      </c>
      <c r="B89" s="8">
        <v>3.9809573310024798E-2</v>
      </c>
    </row>
    <row r="90" spans="1:2" ht="16.05" customHeight="1">
      <c r="A90" s="120">
        <v>45778</v>
      </c>
      <c r="B90" s="8">
        <v>2.6951232318175099E-2</v>
      </c>
    </row>
    <row r="91" spans="1:2" ht="16.05" customHeight="1">
      <c r="A91" s="120">
        <v>45809</v>
      </c>
      <c r="B91" s="8">
        <v>4.08496833400398E-2</v>
      </c>
    </row>
    <row r="92" spans="1:2" ht="16.05" customHeight="1">
      <c r="A92" s="120">
        <v>45839</v>
      </c>
      <c r="B92" s="8">
        <v>3.36794476710085E-2</v>
      </c>
    </row>
    <row r="93" spans="1:2" ht="16.05" customHeight="1">
      <c r="A93" s="120">
        <v>45870</v>
      </c>
      <c r="B93" s="8">
        <v>3.3680956069396299E-2</v>
      </c>
    </row>
    <row r="94" spans="1:2" ht="16.05" customHeight="1">
      <c r="A94" s="120">
        <v>45901</v>
      </c>
      <c r="B94" s="8">
        <v>2.3847369785638502E-2</v>
      </c>
    </row>
    <row r="95" spans="1:2" ht="16.05" customHeight="1">
      <c r="A95" s="120">
        <v>45931</v>
      </c>
      <c r="B95" s="8">
        <v>1.07800667687987E-2</v>
      </c>
    </row>
    <row r="96" spans="1:2" ht="16.05" customHeight="1">
      <c r="A96" s="120">
        <v>45962</v>
      </c>
      <c r="B96" s="8">
        <v>1.07800667687987E-2</v>
      </c>
    </row>
    <row r="97" spans="1:2" ht="16.05" customHeight="1">
      <c r="A97" s="120">
        <v>45992</v>
      </c>
      <c r="B97" s="8">
        <v>3.3594470260328399E-2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2FE42-B407-439C-9A5F-B09A580C0DC1}">
  <sheetPr>
    <tabColor theme="5" tint="0.79998168889431442"/>
  </sheetPr>
  <dimension ref="A1:D97"/>
  <sheetViews>
    <sheetView showGridLines="0" workbookViewId="0">
      <selection activeCell="J33" sqref="J33"/>
    </sheetView>
  </sheetViews>
  <sheetFormatPr defaultColWidth="16.77734375" defaultRowHeight="16.05" customHeight="1"/>
  <cols>
    <col min="1" max="1" width="16.5546875" bestFit="1" customWidth="1"/>
  </cols>
  <sheetData>
    <row r="1" spans="1:4" ht="30" customHeight="1">
      <c r="A1" s="121" t="s">
        <v>213</v>
      </c>
      <c r="B1" s="121" t="s">
        <v>225</v>
      </c>
      <c r="C1" s="121" t="s">
        <v>226</v>
      </c>
      <c r="D1" s="123" t="s">
        <v>222</v>
      </c>
    </row>
    <row r="2" spans="1:4" ht="15" customHeight="1">
      <c r="A2" s="120">
        <v>43101</v>
      </c>
      <c r="B2">
        <v>7093</v>
      </c>
      <c r="C2" s="8">
        <v>2.8495502608204999E-3</v>
      </c>
    </row>
    <row r="3" spans="1:4" ht="16.05" customHeight="1">
      <c r="A3" s="120">
        <v>43132</v>
      </c>
      <c r="B3">
        <v>7184</v>
      </c>
      <c r="C3" s="8">
        <f t="shared" ref="C3:C34" si="0">(B3-B2)/B2</f>
        <v>1.2829550260820527E-2</v>
      </c>
    </row>
    <row r="4" spans="1:4" ht="16.05" customHeight="1">
      <c r="A4" s="120">
        <v>43160</v>
      </c>
      <c r="B4">
        <v>7194</v>
      </c>
      <c r="C4" s="8">
        <f t="shared" si="0"/>
        <v>1.3919821826280624E-3</v>
      </c>
    </row>
    <row r="5" spans="1:4" ht="16.05" customHeight="1">
      <c r="A5" s="120">
        <v>43191</v>
      </c>
      <c r="B5">
        <v>7212</v>
      </c>
      <c r="C5" s="8">
        <f t="shared" si="0"/>
        <v>2.5020850708924102E-3</v>
      </c>
    </row>
    <row r="6" spans="1:4" ht="16.05" customHeight="1">
      <c r="A6" s="120">
        <v>43221</v>
      </c>
      <c r="B6">
        <v>7274</v>
      </c>
      <c r="C6" s="8">
        <f t="shared" si="0"/>
        <v>8.596783139212423E-3</v>
      </c>
    </row>
    <row r="7" spans="1:4" ht="16.05" customHeight="1">
      <c r="A7" s="120">
        <v>43252</v>
      </c>
      <c r="B7">
        <v>7292</v>
      </c>
      <c r="C7" s="8">
        <f t="shared" si="0"/>
        <v>2.474566950783613E-3</v>
      </c>
    </row>
    <row r="8" spans="1:4" ht="16.05" customHeight="1">
      <c r="A8" s="120">
        <v>43282</v>
      </c>
      <c r="B8">
        <v>7318</v>
      </c>
      <c r="C8" s="8">
        <f t="shared" si="0"/>
        <v>3.5655512890839275E-3</v>
      </c>
    </row>
    <row r="9" spans="1:4" ht="16.05" customHeight="1">
      <c r="A9" s="120">
        <v>43313</v>
      </c>
      <c r="B9">
        <v>7347</v>
      </c>
      <c r="C9" s="8">
        <f t="shared" si="0"/>
        <v>3.9628313746925391E-3</v>
      </c>
    </row>
    <row r="10" spans="1:4" ht="16.05" customHeight="1">
      <c r="A10" s="120">
        <v>43344</v>
      </c>
      <c r="B10">
        <v>7375</v>
      </c>
      <c r="C10" s="8">
        <f t="shared" si="0"/>
        <v>3.8110793521165102E-3</v>
      </c>
    </row>
    <row r="11" spans="1:4" ht="16.05" customHeight="1">
      <c r="A11" s="120">
        <v>43374</v>
      </c>
      <c r="B11">
        <v>7389</v>
      </c>
      <c r="C11" s="8">
        <f t="shared" si="0"/>
        <v>1.8983050847457628E-3</v>
      </c>
    </row>
    <row r="12" spans="1:4" ht="16.05" customHeight="1">
      <c r="A12" s="120">
        <v>43405</v>
      </c>
      <c r="B12">
        <v>7386</v>
      </c>
      <c r="C12" s="8">
        <f t="shared" si="0"/>
        <v>-4.0600893219650832E-4</v>
      </c>
    </row>
    <row r="13" spans="1:4" ht="16.05" customHeight="1">
      <c r="A13" s="120">
        <v>43435</v>
      </c>
      <c r="B13">
        <v>7396</v>
      </c>
      <c r="C13" s="8">
        <f t="shared" si="0"/>
        <v>1.3539128080151638E-3</v>
      </c>
    </row>
    <row r="14" spans="1:4" ht="16.05" customHeight="1">
      <c r="A14" s="120">
        <v>43466</v>
      </c>
      <c r="B14">
        <v>7425</v>
      </c>
      <c r="C14" s="8">
        <f t="shared" si="0"/>
        <v>3.9210383991346671E-3</v>
      </c>
    </row>
    <row r="15" spans="1:4" ht="16.05" customHeight="1">
      <c r="A15" s="120">
        <v>43497</v>
      </c>
      <c r="B15">
        <v>7395</v>
      </c>
      <c r="C15" s="8">
        <f t="shared" si="0"/>
        <v>-4.0404040404040404E-3</v>
      </c>
    </row>
    <row r="16" spans="1:4" ht="16.05" customHeight="1">
      <c r="A16" s="120">
        <v>43525</v>
      </c>
      <c r="B16">
        <v>7425</v>
      </c>
      <c r="C16" s="8">
        <f t="shared" si="0"/>
        <v>4.0567951318458417E-3</v>
      </c>
    </row>
    <row r="17" spans="1:3" ht="16.05" customHeight="1">
      <c r="A17" s="120">
        <v>43556</v>
      </c>
      <c r="B17">
        <v>7468</v>
      </c>
      <c r="C17" s="8">
        <f t="shared" si="0"/>
        <v>5.7912457912457915E-3</v>
      </c>
    </row>
    <row r="18" spans="1:3" ht="16.05" customHeight="1">
      <c r="A18" s="120">
        <v>43586</v>
      </c>
      <c r="B18">
        <v>7478</v>
      </c>
      <c r="C18" s="8">
        <f t="shared" si="0"/>
        <v>1.339046598821639E-3</v>
      </c>
    </row>
    <row r="19" spans="1:3" ht="16.05" customHeight="1">
      <c r="A19" s="120">
        <v>43617</v>
      </c>
      <c r="B19">
        <v>7502</v>
      </c>
      <c r="C19" s="8">
        <f t="shared" si="0"/>
        <v>3.2094142818935543E-3</v>
      </c>
    </row>
    <row r="20" spans="1:3" ht="16.05" customHeight="1">
      <c r="A20" s="120">
        <v>43647</v>
      </c>
      <c r="B20">
        <v>7526</v>
      </c>
      <c r="C20" s="8">
        <f t="shared" si="0"/>
        <v>3.1991468941615568E-3</v>
      </c>
    </row>
    <row r="21" spans="1:3" ht="16.05" customHeight="1">
      <c r="A21" s="120">
        <v>43678</v>
      </c>
      <c r="B21">
        <v>7530</v>
      </c>
      <c r="C21" s="8">
        <f t="shared" si="0"/>
        <v>5.3149083178315171E-4</v>
      </c>
    </row>
    <row r="22" spans="1:3" ht="16.05" customHeight="1">
      <c r="A22" s="120">
        <v>43709</v>
      </c>
      <c r="B22">
        <v>7547</v>
      </c>
      <c r="C22" s="8">
        <f t="shared" si="0"/>
        <v>2.2576361221779548E-3</v>
      </c>
    </row>
    <row r="23" spans="1:3" ht="16.05" customHeight="1">
      <c r="A23" s="120">
        <v>43739</v>
      </c>
      <c r="B23">
        <v>7553</v>
      </c>
      <c r="C23" s="8">
        <f t="shared" si="0"/>
        <v>7.9501788790247785E-4</v>
      </c>
    </row>
    <row r="24" spans="1:3" ht="16.05" customHeight="1">
      <c r="A24" s="120">
        <v>43770</v>
      </c>
      <c r="B24">
        <v>7541</v>
      </c>
      <c r="C24" s="8">
        <f t="shared" si="0"/>
        <v>-1.5887726731100226E-3</v>
      </c>
    </row>
    <row r="25" spans="1:3" ht="16.05" customHeight="1">
      <c r="A25" s="120">
        <v>43800</v>
      </c>
      <c r="B25">
        <v>7527</v>
      </c>
      <c r="C25" s="8">
        <f t="shared" si="0"/>
        <v>-1.8565177032223842E-3</v>
      </c>
    </row>
    <row r="26" spans="1:3" ht="16.05" customHeight="1">
      <c r="A26" s="120">
        <v>43831</v>
      </c>
      <c r="B26">
        <v>7575</v>
      </c>
      <c r="C26" s="8">
        <f t="shared" si="0"/>
        <v>6.3770426464726986E-3</v>
      </c>
    </row>
    <row r="27" spans="1:3" ht="16.05" customHeight="1">
      <c r="A27" s="120">
        <v>43862</v>
      </c>
      <c r="B27">
        <v>7610</v>
      </c>
      <c r="C27" s="8">
        <f t="shared" si="0"/>
        <v>4.6204620462046205E-3</v>
      </c>
    </row>
    <row r="28" spans="1:3" ht="16.05" customHeight="1">
      <c r="A28" s="120">
        <v>43891</v>
      </c>
      <c r="B28">
        <v>7541</v>
      </c>
      <c r="C28" s="8">
        <f t="shared" si="0"/>
        <v>-9.0670170827858079E-3</v>
      </c>
    </row>
    <row r="29" spans="1:3" ht="16.05" customHeight="1">
      <c r="A29" s="120">
        <v>43922</v>
      </c>
      <c r="B29">
        <v>6522</v>
      </c>
      <c r="C29" s="8">
        <f t="shared" si="0"/>
        <v>-0.13512796711311498</v>
      </c>
    </row>
    <row r="30" spans="1:3" ht="16.05" customHeight="1">
      <c r="A30" s="120">
        <v>43952</v>
      </c>
      <c r="B30">
        <v>7004</v>
      </c>
      <c r="C30" s="8">
        <f t="shared" si="0"/>
        <v>7.3903710518245944E-2</v>
      </c>
    </row>
    <row r="31" spans="1:3" ht="16.05" customHeight="1">
      <c r="A31" s="120">
        <v>43983</v>
      </c>
      <c r="B31">
        <v>7159</v>
      </c>
      <c r="C31" s="8">
        <f t="shared" si="0"/>
        <v>2.21302113078241E-2</v>
      </c>
    </row>
    <row r="32" spans="1:3" ht="16.05" customHeight="1">
      <c r="A32" s="120">
        <v>44013</v>
      </c>
      <c r="B32">
        <v>7196</v>
      </c>
      <c r="C32" s="8">
        <f t="shared" si="0"/>
        <v>5.1683195977091775E-3</v>
      </c>
    </row>
    <row r="33" spans="1:3" ht="16.05" customHeight="1">
      <c r="A33" s="120">
        <v>44044</v>
      </c>
      <c r="B33">
        <v>7226</v>
      </c>
      <c r="C33" s="8">
        <f t="shared" si="0"/>
        <v>4.168982768204558E-3</v>
      </c>
    </row>
    <row r="34" spans="1:3" ht="16.05" customHeight="1">
      <c r="A34" s="120">
        <v>44075</v>
      </c>
      <c r="B34">
        <v>7253</v>
      </c>
      <c r="C34" s="8">
        <f t="shared" si="0"/>
        <v>3.736507057846665E-3</v>
      </c>
    </row>
    <row r="35" spans="1:3" ht="16.05" customHeight="1">
      <c r="A35" s="120">
        <v>44105</v>
      </c>
      <c r="B35">
        <v>7301</v>
      </c>
      <c r="C35" s="8">
        <f t="shared" ref="C35:C66" si="1">(B35-B34)/B34</f>
        <v>6.6179511926099544E-3</v>
      </c>
    </row>
    <row r="36" spans="1:3" ht="16.05" customHeight="1">
      <c r="A36" s="120">
        <v>44136</v>
      </c>
      <c r="B36">
        <v>7321</v>
      </c>
      <c r="C36" s="8">
        <f t="shared" si="1"/>
        <v>2.7393507738665934E-3</v>
      </c>
    </row>
    <row r="37" spans="1:3" ht="16.05" customHeight="1">
      <c r="A37" s="120">
        <v>44166</v>
      </c>
      <c r="B37">
        <v>7357</v>
      </c>
      <c r="C37" s="8">
        <f t="shared" si="1"/>
        <v>4.9173610162546099E-3</v>
      </c>
    </row>
    <row r="38" spans="1:3" ht="16.05" customHeight="1">
      <c r="A38" s="120">
        <v>44197</v>
      </c>
      <c r="B38">
        <v>7358</v>
      </c>
      <c r="C38" s="8">
        <f t="shared" si="1"/>
        <v>1.3592496941688189E-4</v>
      </c>
    </row>
    <row r="39" spans="1:3" ht="16.05" customHeight="1">
      <c r="A39" s="120">
        <v>44228</v>
      </c>
      <c r="B39">
        <v>7293</v>
      </c>
      <c r="C39" s="8">
        <f t="shared" si="1"/>
        <v>-8.8339222614840993E-3</v>
      </c>
    </row>
    <row r="40" spans="1:3" ht="16.05" customHeight="1">
      <c r="A40" s="120">
        <v>44256</v>
      </c>
      <c r="B40">
        <v>7399</v>
      </c>
      <c r="C40" s="8">
        <f t="shared" si="1"/>
        <v>1.4534485122720417E-2</v>
      </c>
    </row>
    <row r="41" spans="1:3" ht="16.05" customHeight="1">
      <c r="A41" s="120">
        <v>44287</v>
      </c>
      <c r="B41">
        <v>7401</v>
      </c>
      <c r="C41" s="8">
        <f t="shared" si="1"/>
        <v>2.7030679821597514E-4</v>
      </c>
    </row>
    <row r="42" spans="1:3" ht="16.05" customHeight="1">
      <c r="A42" s="120">
        <v>44317</v>
      </c>
      <c r="B42">
        <v>7389</v>
      </c>
      <c r="C42" s="8">
        <f t="shared" si="1"/>
        <v>-1.6214025131738954E-3</v>
      </c>
    </row>
    <row r="43" spans="1:3" ht="16.05" customHeight="1">
      <c r="A43" s="120">
        <v>44348</v>
      </c>
      <c r="B43">
        <v>7392</v>
      </c>
      <c r="C43" s="8">
        <f t="shared" si="1"/>
        <v>4.0600893219650832E-4</v>
      </c>
    </row>
    <row r="44" spans="1:3" ht="16.05" customHeight="1">
      <c r="A44" s="120">
        <v>44378</v>
      </c>
      <c r="B44">
        <v>7417</v>
      </c>
      <c r="C44" s="8">
        <f t="shared" si="1"/>
        <v>3.382034632034632E-3</v>
      </c>
    </row>
    <row r="45" spans="1:3" ht="16.05" customHeight="1">
      <c r="A45" s="120">
        <v>44409</v>
      </c>
      <c r="B45">
        <v>7431</v>
      </c>
      <c r="C45" s="8">
        <f t="shared" si="1"/>
        <v>1.8875556154779561E-3</v>
      </c>
    </row>
    <row r="46" spans="1:3" ht="16.05" customHeight="1">
      <c r="A46" s="120">
        <v>44440</v>
      </c>
      <c r="B46">
        <v>7478</v>
      </c>
      <c r="C46" s="8">
        <f t="shared" si="1"/>
        <v>6.3248553357556185E-3</v>
      </c>
    </row>
    <row r="47" spans="1:3" ht="16.05" customHeight="1">
      <c r="A47" s="120">
        <v>44470</v>
      </c>
      <c r="B47">
        <v>7520</v>
      </c>
      <c r="C47" s="8">
        <f t="shared" si="1"/>
        <v>5.6164749933137201E-3</v>
      </c>
    </row>
    <row r="48" spans="1:3" ht="16.05" customHeight="1">
      <c r="A48" s="120">
        <v>44501</v>
      </c>
      <c r="B48">
        <v>7565</v>
      </c>
      <c r="C48" s="8">
        <f t="shared" si="1"/>
        <v>5.9840425531914893E-3</v>
      </c>
    </row>
    <row r="49" spans="1:3" ht="16.05" customHeight="1">
      <c r="A49" s="120">
        <v>44531</v>
      </c>
      <c r="B49">
        <v>7601</v>
      </c>
      <c r="C49" s="8">
        <f t="shared" si="1"/>
        <v>4.7587574355584927E-3</v>
      </c>
    </row>
    <row r="50" spans="1:3" ht="16.05" customHeight="1">
      <c r="A50" s="120">
        <v>44562</v>
      </c>
      <c r="B50">
        <v>7586</v>
      </c>
      <c r="C50" s="8">
        <f t="shared" si="1"/>
        <v>-1.9734245494013947E-3</v>
      </c>
    </row>
    <row r="51" spans="1:3" ht="16.05" customHeight="1">
      <c r="A51" s="120">
        <v>44593</v>
      </c>
      <c r="B51">
        <v>7667</v>
      </c>
      <c r="C51" s="8">
        <f t="shared" si="1"/>
        <v>1.0677563933561824E-2</v>
      </c>
    </row>
    <row r="52" spans="1:3" ht="16.05" customHeight="1">
      <c r="A52" s="120">
        <v>44621</v>
      </c>
      <c r="B52">
        <v>7695</v>
      </c>
      <c r="C52" s="8">
        <f t="shared" si="1"/>
        <v>3.6520151297769663E-3</v>
      </c>
    </row>
    <row r="53" spans="1:3" ht="16.05" customHeight="1">
      <c r="A53" s="120">
        <v>44652</v>
      </c>
      <c r="B53">
        <v>7699</v>
      </c>
      <c r="C53" s="8">
        <f t="shared" si="1"/>
        <v>5.1981806367771275E-4</v>
      </c>
    </row>
    <row r="54" spans="1:3" ht="16.05" customHeight="1">
      <c r="A54" s="120">
        <v>44682</v>
      </c>
      <c r="B54">
        <v>7737</v>
      </c>
      <c r="C54" s="8">
        <f t="shared" si="1"/>
        <v>4.9357059358358232E-3</v>
      </c>
    </row>
    <row r="55" spans="1:3" ht="16.05" customHeight="1">
      <c r="A55" s="120">
        <v>44713</v>
      </c>
      <c r="B55">
        <v>7760</v>
      </c>
      <c r="C55" s="8">
        <f t="shared" si="1"/>
        <v>2.972728447718754E-3</v>
      </c>
    </row>
    <row r="56" spans="1:3" ht="16.05" customHeight="1">
      <c r="A56" s="120">
        <v>44743</v>
      </c>
      <c r="B56">
        <v>7789</v>
      </c>
      <c r="C56" s="8">
        <f t="shared" si="1"/>
        <v>3.7371134020618558E-3</v>
      </c>
    </row>
    <row r="57" spans="1:3" ht="16.05" customHeight="1">
      <c r="A57" s="120">
        <v>44774</v>
      </c>
      <c r="B57">
        <v>7799</v>
      </c>
      <c r="C57" s="8">
        <f t="shared" si="1"/>
        <v>1.2838618564642444E-3</v>
      </c>
    </row>
    <row r="58" spans="1:3" ht="16.05" customHeight="1">
      <c r="A58" s="120">
        <v>44805</v>
      </c>
      <c r="B58">
        <v>7827</v>
      </c>
      <c r="C58" s="8">
        <f t="shared" si="1"/>
        <v>3.5902038722913196E-3</v>
      </c>
    </row>
    <row r="59" spans="1:3" ht="16.05" customHeight="1">
      <c r="A59" s="120">
        <v>44835</v>
      </c>
      <c r="B59">
        <v>7846</v>
      </c>
      <c r="C59" s="8">
        <f t="shared" si="1"/>
        <v>2.4274945700779355E-3</v>
      </c>
    </row>
    <row r="60" spans="1:3" ht="16.05" customHeight="1">
      <c r="A60" s="120">
        <v>44866</v>
      </c>
      <c r="B60">
        <v>7864</v>
      </c>
      <c r="C60" s="8">
        <f t="shared" si="1"/>
        <v>2.2941626306398166E-3</v>
      </c>
    </row>
    <row r="61" spans="1:3" ht="16.05" customHeight="1">
      <c r="A61" s="120">
        <v>44896</v>
      </c>
      <c r="B61">
        <v>7892</v>
      </c>
      <c r="C61" s="8">
        <f t="shared" si="1"/>
        <v>3.5605289928789421E-3</v>
      </c>
    </row>
    <row r="62" spans="1:3" ht="16.05" customHeight="1">
      <c r="A62" s="120">
        <v>44927</v>
      </c>
      <c r="B62">
        <v>7922</v>
      </c>
      <c r="C62" s="8">
        <f t="shared" si="1"/>
        <v>3.8013177901672578E-3</v>
      </c>
    </row>
    <row r="63" spans="1:3" ht="16.05" customHeight="1">
      <c r="A63" s="120">
        <v>44958</v>
      </c>
      <c r="B63">
        <v>7947</v>
      </c>
      <c r="C63" s="8">
        <f t="shared" si="1"/>
        <v>3.1557687452663467E-3</v>
      </c>
    </row>
    <row r="64" spans="1:3" ht="16.05" customHeight="1">
      <c r="A64" s="120">
        <v>44986</v>
      </c>
      <c r="B64">
        <v>7931</v>
      </c>
      <c r="C64" s="8">
        <f t="shared" si="1"/>
        <v>-2.0133383666792498E-3</v>
      </c>
    </row>
    <row r="65" spans="1:3" ht="16.05" customHeight="1">
      <c r="A65" s="120">
        <v>45017</v>
      </c>
      <c r="B65">
        <v>7955</v>
      </c>
      <c r="C65" s="8">
        <f t="shared" si="1"/>
        <v>3.0261001134787541E-3</v>
      </c>
    </row>
    <row r="66" spans="1:3" ht="16.05" customHeight="1">
      <c r="A66" s="120">
        <v>45047</v>
      </c>
      <c r="B66">
        <v>7965</v>
      </c>
      <c r="C66" s="8">
        <f t="shared" si="1"/>
        <v>1.257071024512885E-3</v>
      </c>
    </row>
    <row r="67" spans="1:3" ht="16.05" customHeight="1">
      <c r="A67" s="120">
        <v>45078</v>
      </c>
      <c r="B67">
        <v>8006</v>
      </c>
      <c r="C67" s="8">
        <f t="shared" ref="C67:C97" si="2">(B67-B66)/B66</f>
        <v>5.1475204017576897E-3</v>
      </c>
    </row>
    <row r="68" spans="1:3" ht="16.05" customHeight="1">
      <c r="A68" s="120">
        <v>45108</v>
      </c>
      <c r="B68">
        <v>8014</v>
      </c>
      <c r="C68" s="8">
        <f t="shared" si="2"/>
        <v>9.9925056207844122E-4</v>
      </c>
    </row>
    <row r="69" spans="1:3" ht="16.05" customHeight="1">
      <c r="A69" s="120">
        <v>45139</v>
      </c>
      <c r="B69">
        <v>8039</v>
      </c>
      <c r="C69" s="8">
        <f t="shared" si="2"/>
        <v>3.1195408035937112E-3</v>
      </c>
    </row>
    <row r="70" spans="1:3" ht="16.05" customHeight="1">
      <c r="A70" s="120">
        <v>45170</v>
      </c>
      <c r="B70">
        <v>8049</v>
      </c>
      <c r="C70" s="8">
        <f t="shared" si="2"/>
        <v>1.2439358129120537E-3</v>
      </c>
    </row>
    <row r="71" spans="1:3" ht="16.05" customHeight="1">
      <c r="A71" s="120">
        <v>45200</v>
      </c>
      <c r="B71">
        <v>8076</v>
      </c>
      <c r="C71" s="8">
        <f t="shared" si="2"/>
        <v>3.354453969437197E-3</v>
      </c>
    </row>
    <row r="72" spans="1:3" ht="16.05" customHeight="1">
      <c r="A72" s="120">
        <v>45231</v>
      </c>
      <c r="B72">
        <v>8085</v>
      </c>
      <c r="C72" s="8">
        <f t="shared" si="2"/>
        <v>1.1144130757800891E-3</v>
      </c>
    </row>
    <row r="73" spans="1:3" ht="16.05" customHeight="1">
      <c r="A73" s="120">
        <v>45261</v>
      </c>
      <c r="B73">
        <v>8099</v>
      </c>
      <c r="C73" s="8">
        <f t="shared" si="2"/>
        <v>1.7316017316017316E-3</v>
      </c>
    </row>
    <row r="74" spans="1:3" ht="16.05" customHeight="1">
      <c r="A74" s="120">
        <v>45292</v>
      </c>
      <c r="B74">
        <v>8113</v>
      </c>
      <c r="C74" s="8">
        <f t="shared" si="2"/>
        <v>1.7286084701815039E-3</v>
      </c>
    </row>
    <row r="75" spans="1:3" ht="16.05" customHeight="1">
      <c r="A75" s="120">
        <v>45323</v>
      </c>
      <c r="B75">
        <v>8136</v>
      </c>
      <c r="C75" s="8">
        <f t="shared" si="2"/>
        <v>2.8349562430666831E-3</v>
      </c>
    </row>
    <row r="76" spans="1:3" ht="16.05" customHeight="1">
      <c r="A76" s="120">
        <v>45352</v>
      </c>
      <c r="B76">
        <v>8170</v>
      </c>
      <c r="C76" s="8">
        <f t="shared" si="2"/>
        <v>4.1789577187807273E-3</v>
      </c>
    </row>
    <row r="77" spans="1:3" ht="16.05" customHeight="1">
      <c r="A77" s="120">
        <v>45383</v>
      </c>
      <c r="B77">
        <v>8173</v>
      </c>
      <c r="C77" s="8">
        <f t="shared" si="2"/>
        <v>3.671970624235006E-4</v>
      </c>
    </row>
    <row r="78" spans="1:3" ht="16.05" customHeight="1">
      <c r="A78" s="120">
        <v>45413</v>
      </c>
      <c r="B78">
        <v>8188</v>
      </c>
      <c r="C78" s="8">
        <f t="shared" si="2"/>
        <v>1.8353113911660345E-3</v>
      </c>
    </row>
    <row r="79" spans="1:3" ht="16.05" customHeight="1">
      <c r="A79" s="120">
        <v>45444</v>
      </c>
      <c r="B79">
        <v>8203</v>
      </c>
      <c r="C79" s="8">
        <f t="shared" si="2"/>
        <v>1.8319491939423546E-3</v>
      </c>
    </row>
    <row r="80" spans="1:3" ht="16.05" customHeight="1">
      <c r="A80" s="120">
        <v>45474</v>
      </c>
      <c r="B80">
        <v>8214</v>
      </c>
      <c r="C80" s="8">
        <f t="shared" si="2"/>
        <v>1.3409728148238449E-3</v>
      </c>
    </row>
    <row r="81" spans="1:3" ht="16.05" customHeight="1">
      <c r="A81" s="120">
        <v>45505</v>
      </c>
      <c r="B81">
        <v>8237</v>
      </c>
      <c r="C81" s="8">
        <f t="shared" si="2"/>
        <v>2.8000973946919893E-3</v>
      </c>
    </row>
    <row r="82" spans="1:3" ht="16.05" customHeight="1">
      <c r="A82" s="120">
        <v>45536</v>
      </c>
      <c r="B82">
        <v>8267</v>
      </c>
      <c r="C82" s="8">
        <f t="shared" si="2"/>
        <v>3.6421027072963456E-3</v>
      </c>
    </row>
    <row r="83" spans="1:3" ht="16.05" customHeight="1">
      <c r="A83" s="120">
        <v>45566</v>
      </c>
      <c r="B83">
        <v>8268</v>
      </c>
      <c r="C83" s="8">
        <f t="shared" si="2"/>
        <v>1.2096286440062901E-4</v>
      </c>
    </row>
    <row r="84" spans="1:3" ht="16.05" customHeight="1">
      <c r="A84" s="120">
        <v>45597</v>
      </c>
      <c r="B84">
        <v>8274</v>
      </c>
      <c r="C84" s="8">
        <f t="shared" si="2"/>
        <v>7.2568940493468795E-4</v>
      </c>
    </row>
    <row r="85" spans="1:3" ht="16.05" customHeight="1">
      <c r="A85" s="120">
        <v>45627</v>
      </c>
      <c r="B85">
        <v>8289</v>
      </c>
      <c r="C85" s="8">
        <f t="shared" si="2"/>
        <v>1.8129079042784628E-3</v>
      </c>
    </row>
    <row r="86" spans="1:3" ht="16.05" customHeight="1">
      <c r="A86" s="120">
        <v>45658</v>
      </c>
      <c r="B86">
        <v>8286</v>
      </c>
      <c r="C86" s="8">
        <f t="shared" si="2"/>
        <v>-3.6192544335866811E-4</v>
      </c>
    </row>
    <row r="87" spans="1:3" ht="16.05" customHeight="1">
      <c r="A87" s="120">
        <v>45689</v>
      </c>
      <c r="B87">
        <v>8298</v>
      </c>
      <c r="C87" s="8">
        <f t="shared" si="2"/>
        <v>1.448225923244026E-3</v>
      </c>
    </row>
    <row r="88" spans="1:3" ht="16.05" customHeight="1">
      <c r="A88" s="120">
        <v>45717</v>
      </c>
      <c r="B88">
        <v>8303</v>
      </c>
      <c r="C88" s="8">
        <f t="shared" si="2"/>
        <v>6.0255483248975654E-4</v>
      </c>
    </row>
    <row r="89" spans="1:3" ht="16.05" customHeight="1">
      <c r="A89" s="120">
        <v>45748</v>
      </c>
      <c r="B89">
        <v>8303</v>
      </c>
      <c r="C89" s="8">
        <f t="shared" si="2"/>
        <v>0</v>
      </c>
    </row>
    <row r="90" spans="1:3" ht="16.05" customHeight="1">
      <c r="A90" s="120">
        <v>45778</v>
      </c>
      <c r="B90">
        <v>8305</v>
      </c>
      <c r="C90" s="8">
        <f t="shared" si="2"/>
        <v>2.4087679152113694E-4</v>
      </c>
    </row>
    <row r="91" spans="1:3" ht="16.05" customHeight="1">
      <c r="A91" s="120">
        <v>45809</v>
      </c>
      <c r="B91">
        <v>8303</v>
      </c>
      <c r="C91" s="8">
        <f t="shared" si="2"/>
        <v>-2.4081878386514148E-4</v>
      </c>
    </row>
    <row r="92" spans="1:3" ht="16.05" customHeight="1">
      <c r="A92" s="120">
        <v>45839</v>
      </c>
      <c r="B92">
        <v>8300</v>
      </c>
      <c r="C92" s="8">
        <f t="shared" si="2"/>
        <v>-3.6131518728170541E-4</v>
      </c>
    </row>
    <row r="93" spans="1:3" ht="16.05" customHeight="1">
      <c r="A93" s="120">
        <v>45870</v>
      </c>
      <c r="B93">
        <v>8280</v>
      </c>
      <c r="C93" s="8">
        <f t="shared" si="2"/>
        <v>-2.4096385542168677E-3</v>
      </c>
    </row>
    <row r="94" spans="1:3" ht="16.05" customHeight="1">
      <c r="A94" s="120">
        <v>45901</v>
      </c>
      <c r="B94">
        <v>8305</v>
      </c>
      <c r="C94" s="8">
        <f t="shared" si="2"/>
        <v>3.0193236714975845E-3</v>
      </c>
    </row>
    <row r="95" spans="1:3" ht="16.05" customHeight="1">
      <c r="A95" s="120">
        <v>45931</v>
      </c>
      <c r="B95">
        <v>8292</v>
      </c>
      <c r="C95" s="8">
        <f t="shared" si="2"/>
        <v>-1.5653220951234196E-3</v>
      </c>
    </row>
    <row r="96" spans="1:3" ht="16.05" customHeight="1">
      <c r="A96" s="120">
        <v>45962</v>
      </c>
      <c r="B96">
        <v>8314</v>
      </c>
      <c r="C96" s="8">
        <f t="shared" si="2"/>
        <v>2.6531596719729859E-3</v>
      </c>
    </row>
    <row r="97" spans="1:3" ht="16.05" customHeight="1">
      <c r="A97" s="120">
        <v>45992</v>
      </c>
      <c r="B97">
        <v>8303</v>
      </c>
      <c r="C97" s="8">
        <f t="shared" si="2"/>
        <v>-1.3230695212893915E-3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2b5e4ed-b116-441a-8099-50d1fdb47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39F0FB455A4A449922C073D3772A86" ma:contentTypeVersion="14" ma:contentTypeDescription="Create a new document." ma:contentTypeScope="" ma:versionID="fa3d457739e5e0b9f6a8dd8f35e5617f">
  <xsd:schema xmlns:xsd="http://www.w3.org/2001/XMLSchema" xmlns:xs="http://www.w3.org/2001/XMLSchema" xmlns:p="http://schemas.microsoft.com/office/2006/metadata/properties" xmlns:ns3="b2b5e4ed-b116-441a-8099-50d1fdb4753d" xmlns:ns4="26fbe963-9484-49e9-95d5-aa1a4bb783d5" targetNamespace="http://schemas.microsoft.com/office/2006/metadata/properties" ma:root="true" ma:fieldsID="0fefa7f13966d1ece86046a37cc5e031" ns3:_="" ns4:_="">
    <xsd:import namespace="b2b5e4ed-b116-441a-8099-50d1fdb4753d"/>
    <xsd:import namespace="26fbe963-9484-49e9-95d5-aa1a4bb783d5"/>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5e4ed-b116-441a-8099-50d1fdb47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fbe963-9484-49e9-95d5-aa1a4bb783d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70013B-23A3-4779-9BCE-30DA13697381}">
  <ds:schemaRefs>
    <ds:schemaRef ds:uri="http://schemas.microsoft.com/sharepoint/v3/contenttype/forms"/>
  </ds:schemaRefs>
</ds:datastoreItem>
</file>

<file path=customXml/itemProps2.xml><?xml version="1.0" encoding="utf-8"?>
<ds:datastoreItem xmlns:ds="http://schemas.openxmlformats.org/officeDocument/2006/customXml" ds:itemID="{2EF22C26-C2ED-406B-8FBF-97A19948F71E}">
  <ds:schemaRefs>
    <ds:schemaRef ds:uri="http://purl.org/dc/terms/"/>
    <ds:schemaRef ds:uri="http://www.w3.org/XML/1998/namespace"/>
    <ds:schemaRef ds:uri="b2b5e4ed-b116-441a-8099-50d1fdb4753d"/>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26fbe963-9484-49e9-95d5-aa1a4bb783d5"/>
    <ds:schemaRef ds:uri="http://schemas.microsoft.com/office/2006/metadata/properties"/>
  </ds:schemaRefs>
</ds:datastoreItem>
</file>

<file path=customXml/itemProps3.xml><?xml version="1.0" encoding="utf-8"?>
<ds:datastoreItem xmlns:ds="http://schemas.openxmlformats.org/officeDocument/2006/customXml" ds:itemID="{74DEB433-4888-40FF-8897-3C4208A3DC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5e4ed-b116-441a-8099-50d1fdb4753d"/>
    <ds:schemaRef ds:uri="26fbe963-9484-49e9-95d5-aa1a4bb783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6</vt:i4>
      </vt:variant>
    </vt:vector>
  </HeadingPairs>
  <TitlesOfParts>
    <vt:vector size="28" baseType="lpstr">
      <vt:lpstr>Valuation Summary</vt:lpstr>
      <vt:lpstr>Inc. Stmt.</vt:lpstr>
      <vt:lpstr>Common Inc. Stmt.</vt:lpstr>
      <vt:lpstr>Q Inc. Stmt.</vt:lpstr>
      <vt:lpstr>Bal. Sheet</vt:lpstr>
      <vt:lpstr>Common Bal. Sheet</vt:lpstr>
      <vt:lpstr>Q Bal. Sheet</vt:lpstr>
      <vt:lpstr>Cash Flow Stmt.</vt:lpstr>
      <vt:lpstr>random calculations</vt:lpstr>
      <vt:lpstr>DCF Model</vt:lpstr>
      <vt:lpstr>Relative Model</vt:lpstr>
      <vt:lpstr>Sensitivity Analysis</vt:lpstr>
      <vt:lpstr>Dupont Analysis</vt:lpstr>
      <vt:lpstr>Ratio Analysis</vt:lpstr>
      <vt:lpstr>Cost of Debt Calc.</vt:lpstr>
      <vt:lpstr>Tax Rate Calc.</vt:lpstr>
      <vt:lpstr>S&amp;P Returns</vt:lpstr>
      <vt:lpstr>Stock Returns</vt:lpstr>
      <vt:lpstr>Med Home Prices</vt:lpstr>
      <vt:lpstr>Mortgage Rates</vt:lpstr>
      <vt:lpstr>CPI Data</vt:lpstr>
      <vt:lpstr>Contruction Jobs</vt:lpstr>
      <vt:lpstr>Bal_sheet</vt:lpstr>
      <vt:lpstr>Cash_flows</vt:lpstr>
      <vt:lpstr>income_stmt</vt:lpstr>
      <vt:lpstr>'Bal. Sheet'!Print_Area</vt:lpstr>
      <vt:lpstr>'Cash Flow Stmt.'!Print_Area</vt:lpstr>
      <vt:lpstr>'Inc. Stmt.'!Print_Area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Tory Trahern</dc:creator>
  <cp:keywords/>
  <dc:description/>
  <cp:lastModifiedBy>Gavin Rinehardt</cp:lastModifiedBy>
  <cp:revision/>
  <dcterms:created xsi:type="dcterms:W3CDTF">2026-01-06T01:20:34Z</dcterms:created>
  <dcterms:modified xsi:type="dcterms:W3CDTF">2026-08-25T23:54:21Z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0x0101001539F0FB455A4A449922C073D3772A86</vt:lpwstr>
  </property>
</Properties>
</file>